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1\Desktop\Пищеблок Кад\Новая папка\"/>
    </mc:Choice>
  </mc:AlternateContent>
  <bookViews>
    <workbookView xWindow="0" yWindow="0" windowWidth="21570" windowHeight="8145" activeTab="1"/>
  </bookViews>
  <sheets>
    <sheet name="Лист1" sheetId="1" r:id="rId1"/>
    <sheet name="Лист2" sheetId="2" r:id="rId2"/>
  </sheets>
  <calcPr calcId="152511"/>
  <extLst>
    <ext uri="GoogleSheetsCustomDataVersion2">
      <go:sheetsCustomData xmlns:go="http://customooxmlschemas.google.com/" r:id="rId5" roundtripDataChecksum="SCeuMKK/VyFvGiz6D06zDtJeTutJmqjRE4JrTkZ8OhU="/>
    </ext>
  </extLst>
</workbook>
</file>

<file path=xl/calcChain.xml><?xml version="1.0" encoding="utf-8"?>
<calcChain xmlns="http://schemas.openxmlformats.org/spreadsheetml/2006/main">
  <c r="F650" i="1" l="1"/>
  <c r="F649" i="1"/>
  <c r="O627" i="2"/>
  <c r="M627" i="2"/>
  <c r="L627" i="2"/>
  <c r="J532" i="2"/>
  <c r="L532" i="2"/>
  <c r="M532" i="2"/>
  <c r="O532" i="2"/>
  <c r="J612" i="2"/>
  <c r="F614" i="2"/>
  <c r="G614" i="2"/>
  <c r="H614" i="2"/>
  <c r="I614" i="2"/>
  <c r="K614" i="2"/>
  <c r="N614" i="2"/>
  <c r="O614" i="2"/>
  <c r="P614" i="2"/>
  <c r="Q614" i="2"/>
  <c r="Q613" i="2"/>
  <c r="P613" i="2"/>
  <c r="N613" i="2"/>
  <c r="M613" i="2"/>
  <c r="K613" i="2"/>
  <c r="I613" i="2"/>
  <c r="H613" i="2"/>
  <c r="G613" i="2"/>
  <c r="F613" i="2"/>
  <c r="O566" i="2"/>
  <c r="M566" i="2"/>
  <c r="L566" i="2"/>
  <c r="K566" i="2"/>
  <c r="J566" i="2"/>
  <c r="E202" i="2"/>
  <c r="Q201" i="2" s="1"/>
  <c r="Q517" i="2"/>
  <c r="P517" i="2"/>
  <c r="N517" i="2"/>
  <c r="K517" i="2"/>
  <c r="J517" i="2"/>
  <c r="I517" i="2"/>
  <c r="H517" i="2"/>
  <c r="G517" i="2"/>
  <c r="F517" i="2"/>
  <c r="N201" i="2" l="1"/>
  <c r="F201" i="2"/>
  <c r="I201" i="2"/>
  <c r="P201" i="2"/>
  <c r="G201" i="2"/>
  <c r="H201" i="2"/>
  <c r="Q485" i="2"/>
  <c r="P485" i="2"/>
  <c r="O485" i="2"/>
  <c r="N485" i="2"/>
  <c r="M485" i="2"/>
  <c r="L485" i="2"/>
  <c r="K485" i="2"/>
  <c r="I485" i="2"/>
  <c r="H485" i="2"/>
  <c r="G485" i="2"/>
  <c r="F485" i="2"/>
  <c r="L417" i="2"/>
  <c r="J417" i="2"/>
  <c r="Q395" i="2"/>
  <c r="P395" i="2"/>
  <c r="N395" i="2"/>
  <c r="L395" i="2"/>
  <c r="K395" i="2"/>
  <c r="J395" i="2"/>
  <c r="I395" i="2"/>
  <c r="H395" i="2"/>
  <c r="G395" i="2"/>
  <c r="F395" i="2"/>
  <c r="O380" i="2"/>
  <c r="M380" i="2"/>
  <c r="L380" i="2"/>
  <c r="Q377" i="2"/>
  <c r="P377" i="2"/>
  <c r="N377" i="2"/>
  <c r="K377" i="2"/>
  <c r="I377" i="2"/>
  <c r="H377" i="2"/>
  <c r="G377" i="2"/>
  <c r="F377" i="2"/>
  <c r="Q162" i="2"/>
  <c r="P162" i="2"/>
  <c r="N162" i="2"/>
  <c r="K162" i="2"/>
  <c r="I162" i="2"/>
  <c r="H162" i="2"/>
  <c r="G162" i="2"/>
  <c r="F162" i="2"/>
  <c r="J257" i="2"/>
  <c r="Q640" i="2" l="1"/>
  <c r="P640" i="2"/>
  <c r="O640" i="2"/>
  <c r="N640" i="2"/>
  <c r="M640" i="2"/>
  <c r="L640" i="2"/>
  <c r="K640" i="2"/>
  <c r="J640" i="2"/>
  <c r="I640" i="2"/>
  <c r="H640" i="2"/>
  <c r="G640" i="2"/>
  <c r="F640" i="2"/>
  <c r="E640" i="2"/>
  <c r="O635" i="2"/>
  <c r="M635" i="2"/>
  <c r="L635" i="2"/>
  <c r="Q633" i="2"/>
  <c r="P633" i="2"/>
  <c r="N633" i="2"/>
  <c r="I633" i="2"/>
  <c r="H633" i="2"/>
  <c r="G633" i="2"/>
  <c r="F633" i="2"/>
  <c r="Q632" i="2"/>
  <c r="P632" i="2"/>
  <c r="N632" i="2"/>
  <c r="I632" i="2"/>
  <c r="H632" i="2"/>
  <c r="G632" i="2"/>
  <c r="F632" i="2"/>
  <c r="Q630" i="2"/>
  <c r="P630" i="2"/>
  <c r="N630" i="2"/>
  <c r="K630" i="2"/>
  <c r="E629" i="2"/>
  <c r="K628" i="2" s="1"/>
  <c r="J63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J621" i="2"/>
  <c r="E621" i="2"/>
  <c r="Q620" i="2"/>
  <c r="P620" i="2"/>
  <c r="N620" i="2"/>
  <c r="I620" i="2"/>
  <c r="H620" i="2"/>
  <c r="G620" i="2"/>
  <c r="F620" i="2"/>
  <c r="Q619" i="2"/>
  <c r="P619" i="2"/>
  <c r="N619" i="2"/>
  <c r="I619" i="2"/>
  <c r="H619" i="2"/>
  <c r="G619" i="2"/>
  <c r="F619" i="2"/>
  <c r="Q617" i="2"/>
  <c r="P617" i="2"/>
  <c r="N617" i="2"/>
  <c r="I617" i="2"/>
  <c r="H617" i="2"/>
  <c r="G617" i="2"/>
  <c r="F617" i="2"/>
  <c r="M621" i="2"/>
  <c r="L621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O607" i="2"/>
  <c r="M607" i="2"/>
  <c r="L607" i="2"/>
  <c r="K607" i="2"/>
  <c r="J607" i="2"/>
  <c r="Q606" i="2"/>
  <c r="P606" i="2"/>
  <c r="N606" i="2"/>
  <c r="I606" i="2"/>
  <c r="H606" i="2"/>
  <c r="G606" i="2"/>
  <c r="F606" i="2"/>
  <c r="Q605" i="2"/>
  <c r="P605" i="2"/>
  <c r="N605" i="2"/>
  <c r="I605" i="2"/>
  <c r="H605" i="2"/>
  <c r="G605" i="2"/>
  <c r="F605" i="2"/>
  <c r="E602" i="2"/>
  <c r="F601" i="2" s="1"/>
  <c r="Q591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O587" i="2"/>
  <c r="M587" i="2"/>
  <c r="L587" i="2"/>
  <c r="K587" i="2"/>
  <c r="J587" i="2"/>
  <c r="E587" i="2"/>
  <c r="Q586" i="2"/>
  <c r="P586" i="2"/>
  <c r="N586" i="2"/>
  <c r="I586" i="2"/>
  <c r="H586" i="2"/>
  <c r="G586" i="2"/>
  <c r="F586" i="2"/>
  <c r="Q585" i="2"/>
  <c r="P585" i="2"/>
  <c r="N585" i="2"/>
  <c r="I585" i="2"/>
  <c r="H585" i="2"/>
  <c r="G585" i="2"/>
  <c r="F585" i="2"/>
  <c r="Q579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O575" i="2"/>
  <c r="M575" i="2"/>
  <c r="L575" i="2"/>
  <c r="E575" i="2"/>
  <c r="Q574" i="2"/>
  <c r="P574" i="2"/>
  <c r="N574" i="2"/>
  <c r="I574" i="2"/>
  <c r="H574" i="2"/>
  <c r="G574" i="2"/>
  <c r="F574" i="2"/>
  <c r="Q573" i="2"/>
  <c r="P573" i="2"/>
  <c r="N573" i="2"/>
  <c r="I573" i="2"/>
  <c r="H573" i="2"/>
  <c r="G573" i="2"/>
  <c r="F573" i="2"/>
  <c r="Q571" i="2"/>
  <c r="P571" i="2"/>
  <c r="N571" i="2"/>
  <c r="K571" i="2"/>
  <c r="I571" i="2"/>
  <c r="H571" i="2"/>
  <c r="G571" i="2"/>
  <c r="F571" i="2"/>
  <c r="Q570" i="2"/>
  <c r="P570" i="2"/>
  <c r="N570" i="2"/>
  <c r="K570" i="2"/>
  <c r="I570" i="2"/>
  <c r="H570" i="2"/>
  <c r="G570" i="2"/>
  <c r="F570" i="2"/>
  <c r="I568" i="2"/>
  <c r="H568" i="2"/>
  <c r="F568" i="2"/>
  <c r="Q567" i="2"/>
  <c r="P567" i="2"/>
  <c r="N567" i="2"/>
  <c r="K567" i="2"/>
  <c r="I567" i="2"/>
  <c r="H567" i="2"/>
  <c r="G567" i="2"/>
  <c r="F567" i="2"/>
  <c r="J575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O561" i="2"/>
  <c r="M561" i="2"/>
  <c r="L561" i="2"/>
  <c r="J561" i="2"/>
  <c r="Q560" i="2"/>
  <c r="Q561" i="2" s="1"/>
  <c r="P560" i="2"/>
  <c r="N560" i="2"/>
  <c r="I560" i="2"/>
  <c r="H560" i="2"/>
  <c r="G560" i="2"/>
  <c r="F560" i="2"/>
  <c r="E558" i="2"/>
  <c r="E561" i="2" s="1"/>
  <c r="P556" i="2"/>
  <c r="N556" i="2"/>
  <c r="K556" i="2"/>
  <c r="K561" i="2" s="1"/>
  <c r="I556" i="2"/>
  <c r="I561" i="2" s="1"/>
  <c r="H556" i="2"/>
  <c r="H561" i="2" s="1"/>
  <c r="G556" i="2"/>
  <c r="G561" i="2" s="1"/>
  <c r="F556" i="2"/>
  <c r="F561" i="2" s="1"/>
  <c r="E55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O540" i="2"/>
  <c r="M540" i="2"/>
  <c r="L540" i="2"/>
  <c r="J540" i="2"/>
  <c r="Q538" i="2"/>
  <c r="P538" i="2"/>
  <c r="N538" i="2"/>
  <c r="I538" i="2"/>
  <c r="H538" i="2"/>
  <c r="G538" i="2"/>
  <c r="F538" i="2"/>
  <c r="E536" i="2"/>
  <c r="Q535" i="2" s="1"/>
  <c r="E534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J526" i="2"/>
  <c r="Q525" i="2"/>
  <c r="P525" i="2"/>
  <c r="N525" i="2"/>
  <c r="I525" i="2"/>
  <c r="H525" i="2"/>
  <c r="G525" i="2"/>
  <c r="F525" i="2"/>
  <c r="Q524" i="2"/>
  <c r="P524" i="2"/>
  <c r="N524" i="2"/>
  <c r="I524" i="2"/>
  <c r="H524" i="2"/>
  <c r="G524" i="2"/>
  <c r="F524" i="2"/>
  <c r="E522" i="2"/>
  <c r="Q521" i="2" s="1"/>
  <c r="E520" i="2"/>
  <c r="Q518" i="2"/>
  <c r="P518" i="2"/>
  <c r="N518" i="2"/>
  <c r="K518" i="2"/>
  <c r="I518" i="2"/>
  <c r="H518" i="2"/>
  <c r="G518" i="2"/>
  <c r="F518" i="2"/>
  <c r="O526" i="2"/>
  <c r="M526" i="2"/>
  <c r="L526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O512" i="2"/>
  <c r="M512" i="2"/>
  <c r="L512" i="2"/>
  <c r="K512" i="2"/>
  <c r="J512" i="2"/>
  <c r="Q510" i="2"/>
  <c r="P510" i="2"/>
  <c r="N510" i="2"/>
  <c r="I510" i="2"/>
  <c r="H510" i="2"/>
  <c r="G510" i="2"/>
  <c r="F510" i="2"/>
  <c r="E508" i="2"/>
  <c r="Q507" i="2" s="1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O493" i="2"/>
  <c r="M493" i="2"/>
  <c r="L493" i="2"/>
  <c r="Q492" i="2"/>
  <c r="P492" i="2"/>
  <c r="N492" i="2"/>
  <c r="I492" i="2"/>
  <c r="H492" i="2"/>
  <c r="G492" i="2"/>
  <c r="F492" i="2"/>
  <c r="Q491" i="2"/>
  <c r="P491" i="2"/>
  <c r="N491" i="2"/>
  <c r="I491" i="2"/>
  <c r="H491" i="2"/>
  <c r="G491" i="2"/>
  <c r="F491" i="2"/>
  <c r="Q488" i="2"/>
  <c r="P488" i="2"/>
  <c r="N488" i="2"/>
  <c r="K488" i="2"/>
  <c r="I488" i="2"/>
  <c r="H488" i="2"/>
  <c r="G488" i="2"/>
  <c r="F488" i="2"/>
  <c r="E487" i="2"/>
  <c r="E493" i="2" s="1"/>
  <c r="Q486" i="2"/>
  <c r="P486" i="2"/>
  <c r="N486" i="2"/>
  <c r="K486" i="2"/>
  <c r="I486" i="2"/>
  <c r="H486" i="2"/>
  <c r="G486" i="2"/>
  <c r="F486" i="2"/>
  <c r="J49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E474" i="2"/>
  <c r="J473" i="2" s="1"/>
  <c r="E472" i="2"/>
  <c r="J470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Q463" i="2"/>
  <c r="P463" i="2"/>
  <c r="N463" i="2"/>
  <c r="I463" i="2"/>
  <c r="H463" i="2"/>
  <c r="G463" i="2"/>
  <c r="F463" i="2"/>
  <c r="E462" i="2"/>
  <c r="E465" i="2" s="1"/>
  <c r="Q461" i="2"/>
  <c r="Q465" i="2" s="1"/>
  <c r="P461" i="2"/>
  <c r="P465" i="2" s="1"/>
  <c r="O461" i="2"/>
  <c r="O465" i="2" s="1"/>
  <c r="N461" i="2"/>
  <c r="M461" i="2"/>
  <c r="L461" i="2"/>
  <c r="K461" i="2"/>
  <c r="K465" i="2" s="1"/>
  <c r="J461" i="2"/>
  <c r="I461" i="2"/>
  <c r="H461" i="2"/>
  <c r="G461" i="2"/>
  <c r="F461" i="2"/>
  <c r="M460" i="2"/>
  <c r="M465" i="2" s="1"/>
  <c r="L460" i="2"/>
  <c r="L465" i="2" s="1"/>
  <c r="J460" i="2"/>
  <c r="I460" i="2"/>
  <c r="O450" i="2"/>
  <c r="M450" i="2"/>
  <c r="L450" i="2"/>
  <c r="J450" i="2"/>
  <c r="E450" i="2"/>
  <c r="Q449" i="2"/>
  <c r="Q450" i="2" s="1"/>
  <c r="P449" i="2"/>
  <c r="P450" i="2" s="1"/>
  <c r="N449" i="2"/>
  <c r="N450" i="2" s="1"/>
  <c r="K449" i="2"/>
  <c r="K450" i="2" s="1"/>
  <c r="I449" i="2"/>
  <c r="I450" i="2" s="1"/>
  <c r="H449" i="2"/>
  <c r="H450" i="2" s="1"/>
  <c r="G449" i="2"/>
  <c r="G450" i="2" s="1"/>
  <c r="F449" i="2"/>
  <c r="F450" i="2" s="1"/>
  <c r="Q445" i="2"/>
  <c r="P445" i="2"/>
  <c r="N445" i="2"/>
  <c r="I445" i="2"/>
  <c r="H445" i="2"/>
  <c r="G445" i="2"/>
  <c r="F445" i="2"/>
  <c r="Q444" i="2"/>
  <c r="P444" i="2"/>
  <c r="N444" i="2"/>
  <c r="I444" i="2"/>
  <c r="H444" i="2"/>
  <c r="G444" i="2"/>
  <c r="F444" i="2"/>
  <c r="Q442" i="2"/>
  <c r="P442" i="2"/>
  <c r="O442" i="2"/>
  <c r="N442" i="2"/>
  <c r="M442" i="2"/>
  <c r="L442" i="2"/>
  <c r="K442" i="2"/>
  <c r="J442" i="2"/>
  <c r="J446" i="2" s="1"/>
  <c r="I442" i="2"/>
  <c r="H442" i="2"/>
  <c r="G442" i="2"/>
  <c r="F442" i="2"/>
  <c r="E441" i="2"/>
  <c r="E446" i="2" s="1"/>
  <c r="O439" i="2"/>
  <c r="M439" i="2"/>
  <c r="L439" i="2"/>
  <c r="O437" i="2"/>
  <c r="M437" i="2"/>
  <c r="L437" i="2"/>
  <c r="J437" i="2"/>
  <c r="E437" i="2"/>
  <c r="Q435" i="2"/>
  <c r="Q437" i="2" s="1"/>
  <c r="P435" i="2"/>
  <c r="P437" i="2" s="1"/>
  <c r="N435" i="2"/>
  <c r="N437" i="2" s="1"/>
  <c r="K435" i="2"/>
  <c r="K437" i="2" s="1"/>
  <c r="I435" i="2"/>
  <c r="I437" i="2" s="1"/>
  <c r="H435" i="2"/>
  <c r="H437" i="2" s="1"/>
  <c r="G435" i="2"/>
  <c r="G437" i="2" s="1"/>
  <c r="F435" i="2"/>
  <c r="F437" i="2" s="1"/>
  <c r="E433" i="2"/>
  <c r="Q432" i="2"/>
  <c r="P432" i="2"/>
  <c r="N432" i="2"/>
  <c r="I432" i="2"/>
  <c r="H432" i="2"/>
  <c r="G432" i="2"/>
  <c r="F432" i="2"/>
  <c r="Q431" i="2"/>
  <c r="P431" i="2"/>
  <c r="N431" i="2"/>
  <c r="I431" i="2"/>
  <c r="H431" i="2"/>
  <c r="G431" i="2"/>
  <c r="F431" i="2"/>
  <c r="Q428" i="2"/>
  <c r="P428" i="2"/>
  <c r="O428" i="2"/>
  <c r="N428" i="2"/>
  <c r="M428" i="2"/>
  <c r="L428" i="2"/>
  <c r="K428" i="2"/>
  <c r="I428" i="2"/>
  <c r="H428" i="2"/>
  <c r="G428" i="2"/>
  <c r="F428" i="2"/>
  <c r="Q427" i="2"/>
  <c r="P427" i="2"/>
  <c r="O427" i="2"/>
  <c r="N427" i="2"/>
  <c r="M427" i="2"/>
  <c r="L427" i="2"/>
  <c r="K427" i="2"/>
  <c r="J427" i="2"/>
  <c r="J433" i="2" s="1"/>
  <c r="I427" i="2"/>
  <c r="H427" i="2"/>
  <c r="G427" i="2"/>
  <c r="F427" i="2"/>
  <c r="O425" i="2"/>
  <c r="M425" i="2"/>
  <c r="L425" i="2"/>
  <c r="J425" i="2"/>
  <c r="E425" i="2"/>
  <c r="Q424" i="2"/>
  <c r="Q425" i="2" s="1"/>
  <c r="P424" i="2"/>
  <c r="P425" i="2" s="1"/>
  <c r="N424" i="2"/>
  <c r="N425" i="2" s="1"/>
  <c r="K424" i="2"/>
  <c r="K425" i="2" s="1"/>
  <c r="I424" i="2"/>
  <c r="I425" i="2" s="1"/>
  <c r="H424" i="2"/>
  <c r="H425" i="2" s="1"/>
  <c r="G424" i="2"/>
  <c r="G425" i="2" s="1"/>
  <c r="F424" i="2"/>
  <c r="F425" i="2" s="1"/>
  <c r="Q421" i="2"/>
  <c r="P421" i="2"/>
  <c r="N421" i="2"/>
  <c r="I421" i="2"/>
  <c r="H421" i="2"/>
  <c r="G421" i="2"/>
  <c r="F421" i="2"/>
  <c r="E419" i="2"/>
  <c r="E422" i="2" s="1"/>
  <c r="Q418" i="2"/>
  <c r="Q422" i="2" s="1"/>
  <c r="P418" i="2"/>
  <c r="P422" i="2" s="1"/>
  <c r="O418" i="2"/>
  <c r="O422" i="2" s="1"/>
  <c r="N418" i="2"/>
  <c r="M418" i="2"/>
  <c r="M422" i="2" s="1"/>
  <c r="L418" i="2"/>
  <c r="L422" i="2" s="1"/>
  <c r="K418" i="2"/>
  <c r="K422" i="2" s="1"/>
  <c r="J418" i="2"/>
  <c r="J422" i="2" s="1"/>
  <c r="I418" i="2"/>
  <c r="H418" i="2"/>
  <c r="G418" i="2"/>
  <c r="F418" i="2"/>
  <c r="O407" i="2"/>
  <c r="M407" i="2"/>
  <c r="L407" i="2"/>
  <c r="J407" i="2"/>
  <c r="E407" i="2"/>
  <c r="Q406" i="2"/>
  <c r="Q407" i="2" s="1"/>
  <c r="P406" i="2"/>
  <c r="P407" i="2" s="1"/>
  <c r="N406" i="2"/>
  <c r="N407" i="2" s="1"/>
  <c r="K406" i="2"/>
  <c r="K407" i="2" s="1"/>
  <c r="I406" i="2"/>
  <c r="I407" i="2" s="1"/>
  <c r="H406" i="2"/>
  <c r="H407" i="2" s="1"/>
  <c r="G406" i="2"/>
  <c r="G407" i="2" s="1"/>
  <c r="F406" i="2"/>
  <c r="F407" i="2" s="1"/>
  <c r="Q401" i="2"/>
  <c r="P401" i="2"/>
  <c r="N401" i="2"/>
  <c r="I401" i="2"/>
  <c r="H401" i="2"/>
  <c r="G401" i="2"/>
  <c r="F401" i="2"/>
  <c r="Q400" i="2"/>
  <c r="P400" i="2"/>
  <c r="N400" i="2"/>
  <c r="I400" i="2"/>
  <c r="H400" i="2"/>
  <c r="G400" i="2"/>
  <c r="F400" i="2"/>
  <c r="E399" i="2"/>
  <c r="N398" i="2" s="1"/>
  <c r="E397" i="2"/>
  <c r="Q396" i="2"/>
  <c r="P396" i="2"/>
  <c r="O396" i="2"/>
  <c r="O403" i="2" s="1"/>
  <c r="N396" i="2"/>
  <c r="M396" i="2"/>
  <c r="M403" i="2" s="1"/>
  <c r="L396" i="2"/>
  <c r="L403" i="2" s="1"/>
  <c r="K396" i="2"/>
  <c r="J396" i="2"/>
  <c r="I396" i="2"/>
  <c r="H396" i="2"/>
  <c r="G396" i="2"/>
  <c r="F396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E389" i="2"/>
  <c r="Q388" i="2"/>
  <c r="P388" i="2"/>
  <c r="N388" i="2"/>
  <c r="I388" i="2"/>
  <c r="H388" i="2"/>
  <c r="G388" i="2"/>
  <c r="F388" i="2"/>
  <c r="Q387" i="2"/>
  <c r="P387" i="2"/>
  <c r="N387" i="2"/>
  <c r="I387" i="2"/>
  <c r="H387" i="2"/>
  <c r="G387" i="2"/>
  <c r="F387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Q383" i="2"/>
  <c r="P383" i="2"/>
  <c r="O383" i="2"/>
  <c r="N383" i="2"/>
  <c r="M383" i="2"/>
  <c r="L383" i="2"/>
  <c r="K383" i="2"/>
  <c r="K389" i="2" s="1"/>
  <c r="J383" i="2"/>
  <c r="I383" i="2"/>
  <c r="H383" i="2"/>
  <c r="G383" i="2"/>
  <c r="F383" i="2"/>
  <c r="O381" i="2"/>
  <c r="M381" i="2"/>
  <c r="L381" i="2"/>
  <c r="J381" i="2"/>
  <c r="J389" i="2" s="1"/>
  <c r="O378" i="2"/>
  <c r="M378" i="2"/>
  <c r="L378" i="2"/>
  <c r="J378" i="2"/>
  <c r="E378" i="2"/>
  <c r="Q378" i="2"/>
  <c r="P378" i="2"/>
  <c r="N378" i="2"/>
  <c r="K378" i="2"/>
  <c r="I378" i="2"/>
  <c r="H378" i="2"/>
  <c r="G378" i="2"/>
  <c r="F378" i="2"/>
  <c r="O375" i="2"/>
  <c r="M375" i="2"/>
  <c r="L375" i="2"/>
  <c r="J375" i="2"/>
  <c r="Q373" i="2"/>
  <c r="P373" i="2"/>
  <c r="N373" i="2"/>
  <c r="I373" i="2"/>
  <c r="H373" i="2"/>
  <c r="G373" i="2"/>
  <c r="F373" i="2"/>
  <c r="E372" i="2"/>
  <c r="E375" i="2" s="1"/>
  <c r="Q371" i="2"/>
  <c r="Q375" i="2" s="1"/>
  <c r="P371" i="2"/>
  <c r="P375" i="2" s="1"/>
  <c r="N371" i="2"/>
  <c r="N375" i="2" s="1"/>
  <c r="K371" i="2"/>
  <c r="K375" i="2" s="1"/>
  <c r="I371" i="2"/>
  <c r="H371" i="2"/>
  <c r="G371" i="2"/>
  <c r="F371" i="2"/>
  <c r="E361" i="2"/>
  <c r="Q360" i="2"/>
  <c r="P360" i="2"/>
  <c r="N360" i="2"/>
  <c r="Q359" i="2"/>
  <c r="P359" i="2"/>
  <c r="O359" i="2"/>
  <c r="N359" i="2"/>
  <c r="M359" i="2"/>
  <c r="L359" i="2"/>
  <c r="L361" i="2" s="1"/>
  <c r="K359" i="2"/>
  <c r="J359" i="2"/>
  <c r="J361" i="2" s="1"/>
  <c r="I359" i="2"/>
  <c r="I361" i="2" s="1"/>
  <c r="H359" i="2"/>
  <c r="H361" i="2" s="1"/>
  <c r="G359" i="2"/>
  <c r="G361" i="2" s="1"/>
  <c r="F359" i="2"/>
  <c r="F361" i="2" s="1"/>
  <c r="Q355" i="2"/>
  <c r="P355" i="2"/>
  <c r="N355" i="2"/>
  <c r="I355" i="2"/>
  <c r="H355" i="2"/>
  <c r="G355" i="2"/>
  <c r="F355" i="2"/>
  <c r="Q354" i="2"/>
  <c r="P354" i="2"/>
  <c r="N354" i="2"/>
  <c r="I354" i="2"/>
  <c r="H354" i="2"/>
  <c r="G354" i="2"/>
  <c r="F354" i="2"/>
  <c r="E352" i="2"/>
  <c r="E357" i="2" s="1"/>
  <c r="Q351" i="2"/>
  <c r="P351" i="2"/>
  <c r="O351" i="2"/>
  <c r="N351" i="2"/>
  <c r="M351" i="2"/>
  <c r="L351" i="2"/>
  <c r="K351" i="2"/>
  <c r="J351" i="2"/>
  <c r="J357" i="2" s="1"/>
  <c r="I351" i="2"/>
  <c r="H351" i="2"/>
  <c r="G351" i="2"/>
  <c r="F351" i="2"/>
  <c r="Q350" i="2"/>
  <c r="P350" i="2"/>
  <c r="O350" i="2"/>
  <c r="O357" i="2" s="1"/>
  <c r="N350" i="2"/>
  <c r="M350" i="2"/>
  <c r="M357" i="2" s="1"/>
  <c r="L350" i="2"/>
  <c r="L357" i="2" s="1"/>
  <c r="K350" i="2"/>
  <c r="K357" i="2" s="1"/>
  <c r="I350" i="2"/>
  <c r="H350" i="2"/>
  <c r="G350" i="2"/>
  <c r="F350" i="2"/>
  <c r="O348" i="2"/>
  <c r="M348" i="2"/>
  <c r="L348" i="2"/>
  <c r="J348" i="2"/>
  <c r="E348" i="2"/>
  <c r="Q347" i="2"/>
  <c r="P347" i="2"/>
  <c r="N347" i="2"/>
  <c r="K347" i="2"/>
  <c r="I347" i="2"/>
  <c r="H347" i="2"/>
  <c r="G347" i="2"/>
  <c r="F347" i="2"/>
  <c r="Q348" i="2"/>
  <c r="P348" i="2"/>
  <c r="N348" i="2"/>
  <c r="K348" i="2"/>
  <c r="I348" i="2"/>
  <c r="H348" i="2"/>
  <c r="G348" i="2"/>
  <c r="F348" i="2"/>
  <c r="Q342" i="2"/>
  <c r="P342" i="2"/>
  <c r="N342" i="2"/>
  <c r="I342" i="2"/>
  <c r="H342" i="2"/>
  <c r="G342" i="2"/>
  <c r="F342" i="2"/>
  <c r="Q341" i="2"/>
  <c r="P341" i="2"/>
  <c r="N341" i="2"/>
  <c r="I341" i="2"/>
  <c r="H341" i="2"/>
  <c r="G341" i="2"/>
  <c r="F341" i="2"/>
  <c r="E339" i="2"/>
  <c r="Q338" i="2"/>
  <c r="P338" i="2"/>
  <c r="O338" i="2"/>
  <c r="O343" i="2" s="1"/>
  <c r="N338" i="2"/>
  <c r="M338" i="2"/>
  <c r="L338" i="2"/>
  <c r="L343" i="2" s="1"/>
  <c r="K338" i="2"/>
  <c r="J338" i="2"/>
  <c r="H338" i="2"/>
  <c r="G338" i="2"/>
  <c r="F338" i="2"/>
  <c r="E337" i="2"/>
  <c r="P336" i="2" s="1"/>
  <c r="Q335" i="2"/>
  <c r="P335" i="2"/>
  <c r="N335" i="2"/>
  <c r="M335" i="2"/>
  <c r="K335" i="2"/>
  <c r="I335" i="2"/>
  <c r="H335" i="2"/>
  <c r="G335" i="2"/>
  <c r="Q334" i="2"/>
  <c r="P334" i="2"/>
  <c r="N334" i="2"/>
  <c r="K334" i="2"/>
  <c r="J334" i="2"/>
  <c r="I334" i="2"/>
  <c r="H334" i="2"/>
  <c r="G334" i="2"/>
  <c r="F334" i="2"/>
  <c r="O332" i="2"/>
  <c r="M332" i="2"/>
  <c r="L332" i="2"/>
  <c r="J332" i="2"/>
  <c r="E332" i="2"/>
  <c r="Q331" i="2"/>
  <c r="Q332" i="2" s="1"/>
  <c r="P331" i="2"/>
  <c r="P332" i="2" s="1"/>
  <c r="N331" i="2"/>
  <c r="N332" i="2" s="1"/>
  <c r="K331" i="2"/>
  <c r="K332" i="2" s="1"/>
  <c r="I331" i="2"/>
  <c r="I332" i="2" s="1"/>
  <c r="H331" i="2"/>
  <c r="H332" i="2" s="1"/>
  <c r="G331" i="2"/>
  <c r="G332" i="2" s="1"/>
  <c r="F331" i="2"/>
  <c r="F332" i="2" s="1"/>
  <c r="O328" i="2"/>
  <c r="M328" i="2"/>
  <c r="L328" i="2"/>
  <c r="J328" i="2"/>
  <c r="Q327" i="2"/>
  <c r="Q328" i="2" s="1"/>
  <c r="P327" i="2"/>
  <c r="N327" i="2"/>
  <c r="I327" i="2"/>
  <c r="I328" i="2" s="1"/>
  <c r="H327" i="2"/>
  <c r="H328" i="2" s="1"/>
  <c r="G327" i="2"/>
  <c r="G328" i="2" s="1"/>
  <c r="F327" i="2"/>
  <c r="E324" i="2"/>
  <c r="E328" i="2" s="1"/>
  <c r="P323" i="2"/>
  <c r="N323" i="2"/>
  <c r="K323" i="2"/>
  <c r="K328" i="2" s="1"/>
  <c r="F323" i="2"/>
  <c r="F535" i="2" l="1"/>
  <c r="E479" i="2"/>
  <c r="E499" i="2" s="1"/>
  <c r="E526" i="2"/>
  <c r="N535" i="2"/>
  <c r="E540" i="2"/>
  <c r="N561" i="2"/>
  <c r="H587" i="2"/>
  <c r="K533" i="2"/>
  <c r="K540" i="2" s="1"/>
  <c r="J593" i="2"/>
  <c r="L389" i="2"/>
  <c r="M389" i="2"/>
  <c r="I535" i="2"/>
  <c r="I521" i="2"/>
  <c r="O389" i="2"/>
  <c r="F519" i="2"/>
  <c r="G587" i="2"/>
  <c r="G440" i="2"/>
  <c r="G446" i="2" s="1"/>
  <c r="K519" i="2"/>
  <c r="K526" i="2" s="1"/>
  <c r="F533" i="2"/>
  <c r="F540" i="2" s="1"/>
  <c r="I389" i="2"/>
  <c r="L446" i="2"/>
  <c r="I440" i="2"/>
  <c r="I446" i="2" s="1"/>
  <c r="J479" i="2"/>
  <c r="Q512" i="2"/>
  <c r="N519" i="2"/>
  <c r="N521" i="2"/>
  <c r="K440" i="2"/>
  <c r="K446" i="2" s="1"/>
  <c r="N328" i="2"/>
  <c r="M343" i="2"/>
  <c r="M363" i="2" s="1"/>
  <c r="H375" i="2"/>
  <c r="G375" i="2"/>
  <c r="I422" i="2"/>
  <c r="M433" i="2"/>
  <c r="Q440" i="2"/>
  <c r="G519" i="2"/>
  <c r="F521" i="2"/>
  <c r="F526" i="2" s="1"/>
  <c r="P361" i="2"/>
  <c r="O473" i="2"/>
  <c r="F440" i="2"/>
  <c r="F446" i="2" s="1"/>
  <c r="N440" i="2"/>
  <c r="N446" i="2" s="1"/>
  <c r="N471" i="2"/>
  <c r="N479" i="2" s="1"/>
  <c r="P493" i="2"/>
  <c r="I533" i="2"/>
  <c r="F389" i="2"/>
  <c r="N389" i="2"/>
  <c r="J403" i="2"/>
  <c r="H422" i="2"/>
  <c r="G433" i="2"/>
  <c r="K433" i="2"/>
  <c r="O433" i="2"/>
  <c r="M446" i="2"/>
  <c r="H440" i="2"/>
  <c r="H446" i="2" s="1"/>
  <c r="P440" i="2"/>
  <c r="P446" i="2" s="1"/>
  <c r="H465" i="2"/>
  <c r="I471" i="2"/>
  <c r="I479" i="2" s="1"/>
  <c r="I587" i="2"/>
  <c r="L641" i="2"/>
  <c r="I493" i="2"/>
  <c r="E593" i="2"/>
  <c r="I465" i="2"/>
  <c r="I507" i="2"/>
  <c r="I512" i="2" s="1"/>
  <c r="P328" i="2"/>
  <c r="O363" i="2"/>
  <c r="G357" i="2"/>
  <c r="P357" i="2"/>
  <c r="I375" i="2"/>
  <c r="Q446" i="2"/>
  <c r="F471" i="2"/>
  <c r="F479" i="2" s="1"/>
  <c r="K471" i="2"/>
  <c r="K479" i="2" s="1"/>
  <c r="O471" i="2"/>
  <c r="O479" i="2" s="1"/>
  <c r="O499" i="2" s="1"/>
  <c r="F493" i="2"/>
  <c r="M546" i="2"/>
  <c r="H519" i="2"/>
  <c r="P519" i="2"/>
  <c r="G521" i="2"/>
  <c r="P521" i="2"/>
  <c r="G533" i="2"/>
  <c r="N533" i="2"/>
  <c r="G535" i="2"/>
  <c r="P535" i="2"/>
  <c r="P587" i="2"/>
  <c r="F628" i="2"/>
  <c r="F635" i="2" s="1"/>
  <c r="F328" i="2"/>
  <c r="Q389" i="2"/>
  <c r="E452" i="2"/>
  <c r="G471" i="2"/>
  <c r="G479" i="2" s="1"/>
  <c r="L471" i="2"/>
  <c r="L479" i="2" s="1"/>
  <c r="L499" i="2" s="1"/>
  <c r="P471" i="2"/>
  <c r="P479" i="2" s="1"/>
  <c r="K493" i="2"/>
  <c r="I519" i="2"/>
  <c r="Q519" i="2"/>
  <c r="Q526" i="2" s="1"/>
  <c r="H521" i="2"/>
  <c r="H533" i="2"/>
  <c r="Q533" i="2"/>
  <c r="Q540" i="2" s="1"/>
  <c r="H535" i="2"/>
  <c r="M593" i="2"/>
  <c r="F607" i="2"/>
  <c r="I621" i="2"/>
  <c r="I628" i="2"/>
  <c r="I635" i="2" s="1"/>
  <c r="N357" i="2"/>
  <c r="G422" i="2"/>
  <c r="F465" i="2"/>
  <c r="N465" i="2"/>
  <c r="H471" i="2"/>
  <c r="H479" i="2" s="1"/>
  <c r="M471" i="2"/>
  <c r="M479" i="2" s="1"/>
  <c r="M499" i="2" s="1"/>
  <c r="Q471" i="2"/>
  <c r="Q479" i="2" s="1"/>
  <c r="N493" i="2"/>
  <c r="O593" i="2"/>
  <c r="Q628" i="2"/>
  <c r="Q635" i="2" s="1"/>
  <c r="E635" i="2"/>
  <c r="M409" i="2"/>
  <c r="G336" i="2"/>
  <c r="G343" i="2" s="1"/>
  <c r="H357" i="2"/>
  <c r="Q357" i="2"/>
  <c r="I357" i="2"/>
  <c r="Q361" i="2"/>
  <c r="L409" i="2"/>
  <c r="G389" i="2"/>
  <c r="P389" i="2"/>
  <c r="H389" i="2"/>
  <c r="E403" i="2"/>
  <c r="E409" i="2" s="1"/>
  <c r="Q493" i="2"/>
  <c r="F507" i="2"/>
  <c r="F512" i="2" s="1"/>
  <c r="N507" i="2"/>
  <c r="N512" i="2" s="1"/>
  <c r="I575" i="2"/>
  <c r="F587" i="2"/>
  <c r="N587" i="2"/>
  <c r="F621" i="2"/>
  <c r="K621" i="2"/>
  <c r="O621" i="2"/>
  <c r="O641" i="2" s="1"/>
  <c r="G621" i="2"/>
  <c r="P621" i="2"/>
  <c r="H621" i="2"/>
  <c r="J336" i="2"/>
  <c r="J343" i="2" s="1"/>
  <c r="J363" i="2" s="1"/>
  <c r="F357" i="2"/>
  <c r="K403" i="2"/>
  <c r="K409" i="2" s="1"/>
  <c r="F398" i="2"/>
  <c r="F403" i="2" s="1"/>
  <c r="F433" i="2"/>
  <c r="N433" i="2"/>
  <c r="G493" i="2"/>
  <c r="G507" i="2"/>
  <c r="G512" i="2" s="1"/>
  <c r="P507" i="2"/>
  <c r="P512" i="2" s="1"/>
  <c r="M641" i="2"/>
  <c r="F336" i="2"/>
  <c r="F343" i="2" s="1"/>
  <c r="Q336" i="2"/>
  <c r="Q343" i="2" s="1"/>
  <c r="E343" i="2"/>
  <c r="E363" i="2" s="1"/>
  <c r="F375" i="2"/>
  <c r="I398" i="2"/>
  <c r="I403" i="2" s="1"/>
  <c r="F422" i="2"/>
  <c r="J452" i="2"/>
  <c r="N422" i="2"/>
  <c r="L433" i="2"/>
  <c r="P433" i="2"/>
  <c r="H433" i="2"/>
  <c r="Q433" i="2"/>
  <c r="I433" i="2"/>
  <c r="J465" i="2"/>
  <c r="G465" i="2"/>
  <c r="H493" i="2"/>
  <c r="H507" i="2"/>
  <c r="H512" i="2" s="1"/>
  <c r="N526" i="2"/>
  <c r="P533" i="2"/>
  <c r="P561" i="2"/>
  <c r="G575" i="2"/>
  <c r="G593" i="2" s="1"/>
  <c r="K575" i="2"/>
  <c r="K593" i="2" s="1"/>
  <c r="P575" i="2"/>
  <c r="H575" i="2"/>
  <c r="H593" i="2" s="1"/>
  <c r="Q587" i="2"/>
  <c r="L363" i="2"/>
  <c r="P343" i="2"/>
  <c r="N403" i="2"/>
  <c r="L546" i="2"/>
  <c r="N575" i="2"/>
  <c r="J641" i="2"/>
  <c r="E607" i="2"/>
  <c r="Q601" i="2"/>
  <c r="Q607" i="2" s="1"/>
  <c r="H601" i="2"/>
  <c r="H607" i="2" s="1"/>
  <c r="P601" i="2"/>
  <c r="P607" i="2" s="1"/>
  <c r="G601" i="2"/>
  <c r="G607" i="2" s="1"/>
  <c r="K336" i="2"/>
  <c r="K343" i="2" s="1"/>
  <c r="K363" i="2" s="1"/>
  <c r="H336" i="2"/>
  <c r="H343" i="2" s="1"/>
  <c r="H363" i="2" s="1"/>
  <c r="N336" i="2"/>
  <c r="N343" i="2" s="1"/>
  <c r="O446" i="2"/>
  <c r="L593" i="2"/>
  <c r="I601" i="2"/>
  <c r="I607" i="2" s="1"/>
  <c r="Q621" i="2"/>
  <c r="O409" i="2"/>
  <c r="I336" i="2"/>
  <c r="I343" i="2" s="1"/>
  <c r="J409" i="2"/>
  <c r="Q398" i="2"/>
  <c r="Q403" i="2" s="1"/>
  <c r="H398" i="2"/>
  <c r="H403" i="2" s="1"/>
  <c r="P398" i="2"/>
  <c r="P403" i="2" s="1"/>
  <c r="G398" i="2"/>
  <c r="G403" i="2" s="1"/>
  <c r="J546" i="2"/>
  <c r="O546" i="2"/>
  <c r="F575" i="2"/>
  <c r="F593" i="2" s="1"/>
  <c r="Q575" i="2"/>
  <c r="N601" i="2"/>
  <c r="N607" i="2" s="1"/>
  <c r="N621" i="2"/>
  <c r="K635" i="2"/>
  <c r="P628" i="2"/>
  <c r="P635" i="2" s="1"/>
  <c r="H628" i="2"/>
  <c r="H635" i="2" s="1"/>
  <c r="N628" i="2"/>
  <c r="N635" i="2" s="1"/>
  <c r="G628" i="2"/>
  <c r="G635" i="2" s="1"/>
  <c r="E55" i="2"/>
  <c r="Q54" i="2"/>
  <c r="P54" i="2"/>
  <c r="N54" i="2"/>
  <c r="K54" i="2"/>
  <c r="I54" i="2"/>
  <c r="H54" i="2"/>
  <c r="G54" i="2"/>
  <c r="F54" i="2"/>
  <c r="E35" i="2"/>
  <c r="Q34" i="2"/>
  <c r="P34" i="2"/>
  <c r="N34" i="2"/>
  <c r="K34" i="2"/>
  <c r="I34" i="2"/>
  <c r="H34" i="2"/>
  <c r="G34" i="2"/>
  <c r="F34" i="2"/>
  <c r="E20" i="2"/>
  <c r="Q19" i="2" s="1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Q308" i="2"/>
  <c r="P308" i="2"/>
  <c r="N308" i="2"/>
  <c r="I308" i="2"/>
  <c r="H308" i="2"/>
  <c r="G308" i="2"/>
  <c r="F308" i="2"/>
  <c r="Q307" i="2"/>
  <c r="P307" i="2"/>
  <c r="N307" i="2"/>
  <c r="I307" i="2"/>
  <c r="H307" i="2"/>
  <c r="G307" i="2"/>
  <c r="F307" i="2"/>
  <c r="M305" i="2"/>
  <c r="E304" i="2"/>
  <c r="E309" i="2" s="1"/>
  <c r="Q302" i="2"/>
  <c r="P302" i="2"/>
  <c r="O302" i="2"/>
  <c r="O309" i="2" s="1"/>
  <c r="N302" i="2"/>
  <c r="M302" i="2"/>
  <c r="L302" i="2"/>
  <c r="L309" i="2" s="1"/>
  <c r="K302" i="2"/>
  <c r="J302" i="2"/>
  <c r="J309" i="2" s="1"/>
  <c r="I302" i="2"/>
  <c r="H302" i="2"/>
  <c r="F302" i="2"/>
  <c r="G302" i="2" s="1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Q295" i="2"/>
  <c r="P295" i="2"/>
  <c r="N295" i="2"/>
  <c r="I295" i="2"/>
  <c r="H295" i="2"/>
  <c r="G295" i="2"/>
  <c r="F295" i="2"/>
  <c r="Q294" i="2"/>
  <c r="P294" i="2"/>
  <c r="N294" i="2"/>
  <c r="I294" i="2"/>
  <c r="H294" i="2"/>
  <c r="G294" i="2"/>
  <c r="F294" i="2"/>
  <c r="Q291" i="2"/>
  <c r="O291" i="2"/>
  <c r="M291" i="2"/>
  <c r="L291" i="2"/>
  <c r="E290" i="2"/>
  <c r="E296" i="2" s="1"/>
  <c r="Q288" i="2"/>
  <c r="P288" i="2"/>
  <c r="O288" i="2"/>
  <c r="N288" i="2"/>
  <c r="M288" i="2"/>
  <c r="L288" i="2"/>
  <c r="K288" i="2"/>
  <c r="K296" i="2" s="1"/>
  <c r="J288" i="2"/>
  <c r="J296" i="2" s="1"/>
  <c r="I288" i="2"/>
  <c r="H288" i="2"/>
  <c r="F288" i="2"/>
  <c r="G288" i="2" s="1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O283" i="2"/>
  <c r="M283" i="2"/>
  <c r="L283" i="2"/>
  <c r="K283" i="2"/>
  <c r="J283" i="2"/>
  <c r="Q282" i="2"/>
  <c r="P282" i="2"/>
  <c r="N282" i="2"/>
  <c r="I282" i="2"/>
  <c r="H282" i="2"/>
  <c r="G282" i="2"/>
  <c r="F282" i="2"/>
  <c r="E279" i="2"/>
  <c r="Q278" i="2" s="1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Q263" i="2"/>
  <c r="P263" i="2"/>
  <c r="N263" i="2"/>
  <c r="I263" i="2"/>
  <c r="H263" i="2"/>
  <c r="G263" i="2"/>
  <c r="F263" i="2"/>
  <c r="Q262" i="2"/>
  <c r="P262" i="2"/>
  <c r="N262" i="2"/>
  <c r="I262" i="2"/>
  <c r="H262" i="2"/>
  <c r="G262" i="2"/>
  <c r="F262" i="2"/>
  <c r="E260" i="2"/>
  <c r="E264" i="2" s="1"/>
  <c r="O264" i="2"/>
  <c r="M264" i="2"/>
  <c r="L264" i="2"/>
  <c r="J264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Q250" i="2"/>
  <c r="P250" i="2"/>
  <c r="N250" i="2"/>
  <c r="I250" i="2"/>
  <c r="H250" i="2"/>
  <c r="G250" i="2"/>
  <c r="F250" i="2"/>
  <c r="Q249" i="2"/>
  <c r="P249" i="2"/>
  <c r="N249" i="2"/>
  <c r="I249" i="2"/>
  <c r="H249" i="2"/>
  <c r="G249" i="2"/>
  <c r="F249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6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Q242" i="2"/>
  <c r="P242" i="2"/>
  <c r="N242" i="2"/>
  <c r="K242" i="2"/>
  <c r="J242" i="2"/>
  <c r="I242" i="2"/>
  <c r="H242" i="2"/>
  <c r="G242" i="2"/>
  <c r="F242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3" i="2"/>
  <c r="E237" i="2" s="1"/>
  <c r="Q232" i="2"/>
  <c r="P232" i="2"/>
  <c r="O232" i="2"/>
  <c r="N232" i="2"/>
  <c r="M232" i="2"/>
  <c r="L232" i="2"/>
  <c r="K232" i="2"/>
  <c r="J232" i="2"/>
  <c r="I232" i="2"/>
  <c r="H232" i="2"/>
  <c r="G232" i="2"/>
  <c r="F23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O218" i="2"/>
  <c r="M218" i="2"/>
  <c r="L218" i="2"/>
  <c r="Q217" i="2"/>
  <c r="P217" i="2"/>
  <c r="N217" i="2"/>
  <c r="I217" i="2"/>
  <c r="H217" i="2"/>
  <c r="G217" i="2"/>
  <c r="F217" i="2"/>
  <c r="Q216" i="2"/>
  <c r="P216" i="2"/>
  <c r="N216" i="2"/>
  <c r="I216" i="2"/>
  <c r="H216" i="2"/>
  <c r="G216" i="2"/>
  <c r="F216" i="2"/>
  <c r="Q214" i="2"/>
  <c r="P214" i="2"/>
  <c r="N214" i="2"/>
  <c r="I214" i="2"/>
  <c r="H214" i="2"/>
  <c r="G214" i="2"/>
  <c r="F214" i="2"/>
  <c r="E213" i="2"/>
  <c r="Q212" i="2" s="1"/>
  <c r="J218" i="2"/>
  <c r="O210" i="2"/>
  <c r="M210" i="2"/>
  <c r="L210" i="2"/>
  <c r="J210" i="2"/>
  <c r="E208" i="2"/>
  <c r="E210" i="2" s="1"/>
  <c r="Q204" i="2"/>
  <c r="P204" i="2"/>
  <c r="N204" i="2"/>
  <c r="I204" i="2"/>
  <c r="H204" i="2"/>
  <c r="G204" i="2"/>
  <c r="F204" i="2"/>
  <c r="Q203" i="2"/>
  <c r="P203" i="2"/>
  <c r="N203" i="2"/>
  <c r="I203" i="2"/>
  <c r="H203" i="2"/>
  <c r="G203" i="2"/>
  <c r="F203" i="2"/>
  <c r="E200" i="2"/>
  <c r="Q199" i="2" s="1"/>
  <c r="Q198" i="2"/>
  <c r="P198" i="2"/>
  <c r="N198" i="2"/>
  <c r="M198" i="2"/>
  <c r="K198" i="2"/>
  <c r="I198" i="2"/>
  <c r="H198" i="2"/>
  <c r="G198" i="2"/>
  <c r="F198" i="2"/>
  <c r="O197" i="2"/>
  <c r="O205" i="2" s="1"/>
  <c r="M197" i="2"/>
  <c r="L197" i="2"/>
  <c r="J197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O192" i="2"/>
  <c r="M192" i="2"/>
  <c r="L192" i="2"/>
  <c r="K192" i="2"/>
  <c r="J192" i="2"/>
  <c r="Q191" i="2"/>
  <c r="P191" i="2"/>
  <c r="N191" i="2"/>
  <c r="I191" i="2"/>
  <c r="H191" i="2"/>
  <c r="G191" i="2"/>
  <c r="F191" i="2"/>
  <c r="E188" i="2"/>
  <c r="E192" i="2" s="1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O173" i="2"/>
  <c r="M173" i="2"/>
  <c r="L173" i="2"/>
  <c r="J173" i="2"/>
  <c r="E173" i="2"/>
  <c r="Q172" i="2"/>
  <c r="P172" i="2"/>
  <c r="N172" i="2"/>
  <c r="I172" i="2"/>
  <c r="H172" i="2"/>
  <c r="G172" i="2"/>
  <c r="F172" i="2"/>
  <c r="Q171" i="2"/>
  <c r="P171" i="2"/>
  <c r="N171" i="2"/>
  <c r="I171" i="2"/>
  <c r="H171" i="2"/>
  <c r="G171" i="2"/>
  <c r="F171" i="2"/>
  <c r="Q166" i="2"/>
  <c r="P166" i="2"/>
  <c r="N166" i="2"/>
  <c r="K166" i="2"/>
  <c r="K173" i="2" s="1"/>
  <c r="I166" i="2"/>
  <c r="H166" i="2"/>
  <c r="G166" i="2"/>
  <c r="F166" i="2"/>
  <c r="O164" i="2"/>
  <c r="M164" i="2"/>
  <c r="L164" i="2"/>
  <c r="J164" i="2"/>
  <c r="E164" i="2"/>
  <c r="Q164" i="2"/>
  <c r="P164" i="2"/>
  <c r="N164" i="2"/>
  <c r="K164" i="2"/>
  <c r="I164" i="2"/>
  <c r="H164" i="2"/>
  <c r="G164" i="2"/>
  <c r="F164" i="2"/>
  <c r="Q159" i="2"/>
  <c r="P159" i="2"/>
  <c r="N159" i="2"/>
  <c r="I159" i="2"/>
  <c r="H159" i="2"/>
  <c r="G159" i="2"/>
  <c r="F159" i="2"/>
  <c r="Q158" i="2"/>
  <c r="P158" i="2"/>
  <c r="N158" i="2"/>
  <c r="I158" i="2"/>
  <c r="H158" i="2"/>
  <c r="G158" i="2"/>
  <c r="F158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Q155" i="2"/>
  <c r="P155" i="2"/>
  <c r="N155" i="2"/>
  <c r="K155" i="2"/>
  <c r="I155" i="2"/>
  <c r="H155" i="2"/>
  <c r="G155" i="2"/>
  <c r="F155" i="2"/>
  <c r="E154" i="2"/>
  <c r="E160" i="2" s="1"/>
  <c r="Q153" i="2"/>
  <c r="P153" i="2"/>
  <c r="O153" i="2"/>
  <c r="N153" i="2"/>
  <c r="K153" i="2"/>
  <c r="J153" i="2"/>
  <c r="I153" i="2"/>
  <c r="H153" i="2"/>
  <c r="G153" i="2"/>
  <c r="F153" i="2"/>
  <c r="O152" i="2"/>
  <c r="M152" i="2"/>
  <c r="L152" i="2"/>
  <c r="K152" i="2"/>
  <c r="J152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Q146" i="2"/>
  <c r="P146" i="2"/>
  <c r="N146" i="2"/>
  <c r="I146" i="2"/>
  <c r="H146" i="2"/>
  <c r="G146" i="2"/>
  <c r="F146" i="2"/>
  <c r="L144" i="2"/>
  <c r="J144" i="2"/>
  <c r="E143" i="2"/>
  <c r="E147" i="2" s="1"/>
  <c r="Q142" i="2"/>
  <c r="P142" i="2"/>
  <c r="O142" i="2"/>
  <c r="O147" i="2" s="1"/>
  <c r="N142" i="2"/>
  <c r="M142" i="2"/>
  <c r="M147" i="2" s="1"/>
  <c r="L142" i="2"/>
  <c r="K142" i="2"/>
  <c r="J142" i="2"/>
  <c r="I142" i="2"/>
  <c r="H142" i="2"/>
  <c r="G142" i="2"/>
  <c r="F142" i="2"/>
  <c r="E546" i="2" l="1"/>
  <c r="N540" i="2"/>
  <c r="M452" i="2"/>
  <c r="L452" i="2"/>
  <c r="L642" i="2" s="1"/>
  <c r="I540" i="2"/>
  <c r="K546" i="2"/>
  <c r="I526" i="2"/>
  <c r="O452" i="2"/>
  <c r="O642" i="2" s="1"/>
  <c r="F363" i="2"/>
  <c r="H526" i="2"/>
  <c r="K499" i="2"/>
  <c r="I296" i="2"/>
  <c r="P499" i="2"/>
  <c r="N409" i="2"/>
  <c r="Q546" i="2"/>
  <c r="I499" i="2"/>
  <c r="G452" i="2"/>
  <c r="K452" i="2"/>
  <c r="K641" i="2"/>
  <c r="N363" i="2"/>
  <c r="P363" i="2"/>
  <c r="I452" i="2"/>
  <c r="G409" i="2"/>
  <c r="P409" i="2"/>
  <c r="I363" i="2"/>
  <c r="P540" i="2"/>
  <c r="I409" i="2"/>
  <c r="G526" i="2"/>
  <c r="J499" i="2"/>
  <c r="J642" i="2" s="1"/>
  <c r="N499" i="2"/>
  <c r="E641" i="2"/>
  <c r="E642" i="2" s="1"/>
  <c r="F409" i="2"/>
  <c r="Q499" i="2"/>
  <c r="Q409" i="2"/>
  <c r="H540" i="2"/>
  <c r="P526" i="2"/>
  <c r="I641" i="2"/>
  <c r="Q363" i="2"/>
  <c r="F546" i="2"/>
  <c r="Q593" i="2"/>
  <c r="F499" i="2"/>
  <c r="N546" i="2"/>
  <c r="Q452" i="2"/>
  <c r="I593" i="2"/>
  <c r="G363" i="2"/>
  <c r="H452" i="2"/>
  <c r="H499" i="2"/>
  <c r="P452" i="2"/>
  <c r="G540" i="2"/>
  <c r="N593" i="2"/>
  <c r="G499" i="2"/>
  <c r="N452" i="2"/>
  <c r="F641" i="2"/>
  <c r="F452" i="2"/>
  <c r="K251" i="2"/>
  <c r="H409" i="2"/>
  <c r="Q641" i="2"/>
  <c r="P593" i="2"/>
  <c r="G641" i="2"/>
  <c r="M642" i="2"/>
  <c r="P641" i="2"/>
  <c r="N641" i="2"/>
  <c r="H641" i="2"/>
  <c r="G173" i="2"/>
  <c r="N147" i="2"/>
  <c r="M205" i="2"/>
  <c r="M224" i="2" s="1"/>
  <c r="I173" i="2"/>
  <c r="F251" i="2"/>
  <c r="K237" i="2"/>
  <c r="Q283" i="2"/>
  <c r="L147" i="2"/>
  <c r="J160" i="2"/>
  <c r="G251" i="2"/>
  <c r="O251" i="2"/>
  <c r="G199" i="2"/>
  <c r="G205" i="2" s="1"/>
  <c r="N199" i="2"/>
  <c r="N205" i="2" s="1"/>
  <c r="L160" i="2"/>
  <c r="H173" i="2"/>
  <c r="P173" i="2"/>
  <c r="H237" i="2"/>
  <c r="L237" i="2"/>
  <c r="P237" i="2"/>
  <c r="G237" i="2"/>
  <c r="O237" i="2"/>
  <c r="N251" i="2"/>
  <c r="F303" i="2"/>
  <c r="F309" i="2" s="1"/>
  <c r="M309" i="2"/>
  <c r="P160" i="2"/>
  <c r="Q173" i="2"/>
  <c r="F207" i="2"/>
  <c r="F210" i="2" s="1"/>
  <c r="I237" i="2"/>
  <c r="M237" i="2"/>
  <c r="Q237" i="2"/>
  <c r="F259" i="2"/>
  <c r="F264" i="2" s="1"/>
  <c r="O296" i="2"/>
  <c r="O315" i="2" s="1"/>
  <c r="G303" i="2"/>
  <c r="G309" i="2" s="1"/>
  <c r="K147" i="2"/>
  <c r="I187" i="2"/>
  <c r="I192" i="2" s="1"/>
  <c r="F237" i="2"/>
  <c r="J237" i="2"/>
  <c r="N237" i="2"/>
  <c r="H296" i="2"/>
  <c r="L296" i="2"/>
  <c r="L315" i="2" s="1"/>
  <c r="P296" i="2"/>
  <c r="K303" i="2"/>
  <c r="K309" i="2" s="1"/>
  <c r="K315" i="2" s="1"/>
  <c r="F19" i="2"/>
  <c r="K19" i="2"/>
  <c r="G19" i="2"/>
  <c r="N19" i="2"/>
  <c r="H19" i="2"/>
  <c r="P19" i="2"/>
  <c r="I19" i="2"/>
  <c r="J315" i="2"/>
  <c r="Q147" i="2"/>
  <c r="I160" i="2"/>
  <c r="M160" i="2"/>
  <c r="M179" i="2" s="1"/>
  <c r="Q160" i="2"/>
  <c r="O160" i="2"/>
  <c r="O179" i="2" s="1"/>
  <c r="K160" i="2"/>
  <c r="F173" i="2"/>
  <c r="N187" i="2"/>
  <c r="N192" i="2" s="1"/>
  <c r="Q205" i="2"/>
  <c r="G207" i="2"/>
  <c r="G210" i="2" s="1"/>
  <c r="N207" i="2"/>
  <c r="N210" i="2" s="1"/>
  <c r="H251" i="2"/>
  <c r="P251" i="2"/>
  <c r="G259" i="2"/>
  <c r="M296" i="2"/>
  <c r="Q296" i="2"/>
  <c r="N303" i="2"/>
  <c r="N309" i="2" s="1"/>
  <c r="H147" i="2"/>
  <c r="K207" i="2"/>
  <c r="K210" i="2" s="1"/>
  <c r="F147" i="2"/>
  <c r="J147" i="2"/>
  <c r="E179" i="2"/>
  <c r="G147" i="2"/>
  <c r="N160" i="2"/>
  <c r="H160" i="2"/>
  <c r="N173" i="2"/>
  <c r="O224" i="2"/>
  <c r="H199" i="2"/>
  <c r="H205" i="2" s="1"/>
  <c r="L205" i="2"/>
  <c r="L224" i="2" s="1"/>
  <c r="E205" i="2"/>
  <c r="H207" i="2"/>
  <c r="H210" i="2" s="1"/>
  <c r="P207" i="2"/>
  <c r="P210" i="2" s="1"/>
  <c r="F212" i="2"/>
  <c r="F218" i="2" s="1"/>
  <c r="J251" i="2"/>
  <c r="Q251" i="2"/>
  <c r="I251" i="2"/>
  <c r="L251" i="2"/>
  <c r="K259" i="2"/>
  <c r="K264" i="2" s="1"/>
  <c r="F296" i="2"/>
  <c r="N296" i="2"/>
  <c r="F187" i="2"/>
  <c r="F192" i="2" s="1"/>
  <c r="K199" i="2"/>
  <c r="K205" i="2" s="1"/>
  <c r="I207" i="2"/>
  <c r="I210" i="2" s="1"/>
  <c r="Q207" i="2"/>
  <c r="Q210" i="2" s="1"/>
  <c r="K212" i="2"/>
  <c r="K218" i="2" s="1"/>
  <c r="E251" i="2"/>
  <c r="E270" i="2" s="1"/>
  <c r="M251" i="2"/>
  <c r="N259" i="2"/>
  <c r="N264" i="2" s="1"/>
  <c r="G296" i="2"/>
  <c r="Q218" i="2"/>
  <c r="P147" i="2"/>
  <c r="F160" i="2"/>
  <c r="G160" i="2"/>
  <c r="I147" i="2"/>
  <c r="I278" i="2"/>
  <c r="I283" i="2" s="1"/>
  <c r="E283" i="2"/>
  <c r="E315" i="2" s="1"/>
  <c r="G187" i="2"/>
  <c r="G192" i="2" s="1"/>
  <c r="P187" i="2"/>
  <c r="P192" i="2" s="1"/>
  <c r="I199" i="2"/>
  <c r="I205" i="2" s="1"/>
  <c r="P199" i="2"/>
  <c r="P205" i="2" s="1"/>
  <c r="G212" i="2"/>
  <c r="G218" i="2" s="1"/>
  <c r="N212" i="2"/>
  <c r="N218" i="2" s="1"/>
  <c r="H259" i="2"/>
  <c r="H264" i="2" s="1"/>
  <c r="P259" i="2"/>
  <c r="P264" i="2" s="1"/>
  <c r="F278" i="2"/>
  <c r="F283" i="2" s="1"/>
  <c r="N278" i="2"/>
  <c r="N283" i="2" s="1"/>
  <c r="H303" i="2"/>
  <c r="H309" i="2" s="1"/>
  <c r="P303" i="2"/>
  <c r="P309" i="2" s="1"/>
  <c r="H187" i="2"/>
  <c r="H192" i="2" s="1"/>
  <c r="Q187" i="2"/>
  <c r="Q192" i="2" s="1"/>
  <c r="F199" i="2"/>
  <c r="F205" i="2" s="1"/>
  <c r="J199" i="2"/>
  <c r="J205" i="2" s="1"/>
  <c r="J224" i="2" s="1"/>
  <c r="H212" i="2"/>
  <c r="H218" i="2" s="1"/>
  <c r="P212" i="2"/>
  <c r="P218" i="2" s="1"/>
  <c r="E218" i="2"/>
  <c r="I259" i="2"/>
  <c r="I264" i="2" s="1"/>
  <c r="Q259" i="2"/>
  <c r="Q264" i="2" s="1"/>
  <c r="G278" i="2"/>
  <c r="G283" i="2" s="1"/>
  <c r="P278" i="2"/>
  <c r="P283" i="2" s="1"/>
  <c r="I303" i="2"/>
  <c r="I309" i="2" s="1"/>
  <c r="Q303" i="2"/>
  <c r="Q309" i="2" s="1"/>
  <c r="I212" i="2"/>
  <c r="I218" i="2" s="1"/>
  <c r="H278" i="2"/>
  <c r="H283" i="2" s="1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O130" i="2"/>
  <c r="M130" i="2"/>
  <c r="Q129" i="2"/>
  <c r="P129" i="2"/>
  <c r="N129" i="2"/>
  <c r="I129" i="2"/>
  <c r="H129" i="2"/>
  <c r="G129" i="2"/>
  <c r="F129" i="2"/>
  <c r="Q128" i="2"/>
  <c r="P128" i="2"/>
  <c r="N128" i="2"/>
  <c r="I128" i="2"/>
  <c r="H128" i="2"/>
  <c r="G128" i="2"/>
  <c r="F128" i="2"/>
  <c r="E126" i="2"/>
  <c r="E124" i="2"/>
  <c r="N123" i="2" s="1"/>
  <c r="Q122" i="2"/>
  <c r="P122" i="2"/>
  <c r="N122" i="2"/>
  <c r="L122" i="2"/>
  <c r="L130" i="2" s="1"/>
  <c r="K122" i="2"/>
  <c r="K130" i="2" s="1"/>
  <c r="J122" i="2"/>
  <c r="J130" i="2" s="1"/>
  <c r="I122" i="2"/>
  <c r="H122" i="2"/>
  <c r="G122" i="2"/>
  <c r="F122" i="2"/>
  <c r="O120" i="2"/>
  <c r="M120" i="2"/>
  <c r="L120" i="2"/>
  <c r="E118" i="2"/>
  <c r="P117" i="2" s="1"/>
  <c r="P120" i="2" s="1"/>
  <c r="O115" i="2"/>
  <c r="M115" i="2"/>
  <c r="L115" i="2"/>
  <c r="J115" i="2"/>
  <c r="Q114" i="2"/>
  <c r="P114" i="2"/>
  <c r="N114" i="2"/>
  <c r="I114" i="2"/>
  <c r="H114" i="2"/>
  <c r="G114" i="2"/>
  <c r="F114" i="2"/>
  <c r="Q113" i="2"/>
  <c r="P113" i="2"/>
  <c r="N113" i="2"/>
  <c r="I113" i="2"/>
  <c r="H113" i="2"/>
  <c r="G113" i="2"/>
  <c r="F113" i="2"/>
  <c r="Q111" i="2"/>
  <c r="P111" i="2"/>
  <c r="N111" i="2"/>
  <c r="I111" i="2"/>
  <c r="H111" i="2"/>
  <c r="G111" i="2"/>
  <c r="F111" i="2"/>
  <c r="E110" i="2"/>
  <c r="E115" i="2" s="1"/>
  <c r="Q108" i="2"/>
  <c r="P108" i="2"/>
  <c r="N108" i="2"/>
  <c r="K108" i="2"/>
  <c r="I108" i="2"/>
  <c r="H108" i="2"/>
  <c r="G108" i="2"/>
  <c r="F108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Q102" i="2"/>
  <c r="O102" i="2"/>
  <c r="M102" i="2"/>
  <c r="L102" i="2"/>
  <c r="J102" i="2"/>
  <c r="Q101" i="2"/>
  <c r="P101" i="2"/>
  <c r="N101" i="2"/>
  <c r="I101" i="2"/>
  <c r="H101" i="2"/>
  <c r="G101" i="2"/>
  <c r="F101" i="2"/>
  <c r="E98" i="2"/>
  <c r="E102" i="2" s="1"/>
  <c r="P96" i="2"/>
  <c r="N96" i="2"/>
  <c r="N102" i="2" s="1"/>
  <c r="K96" i="2"/>
  <c r="K102" i="2" s="1"/>
  <c r="I96" i="2"/>
  <c r="I102" i="2" s="1"/>
  <c r="H96" i="2"/>
  <c r="H102" i="2" s="1"/>
  <c r="G96" i="2"/>
  <c r="G102" i="2" s="1"/>
  <c r="F96" i="2"/>
  <c r="F102" i="2" s="1"/>
  <c r="I546" i="2" l="1"/>
  <c r="I642" i="2" s="1"/>
  <c r="H546" i="2"/>
  <c r="K642" i="2"/>
  <c r="P546" i="2"/>
  <c r="P642" i="2" s="1"/>
  <c r="G546" i="2"/>
  <c r="G642" i="2" s="1"/>
  <c r="Q642" i="2"/>
  <c r="F642" i="2"/>
  <c r="N642" i="2"/>
  <c r="L270" i="2"/>
  <c r="J179" i="2"/>
  <c r="L179" i="2"/>
  <c r="H642" i="2"/>
  <c r="N179" i="2"/>
  <c r="G123" i="2"/>
  <c r="P123" i="2"/>
  <c r="P130" i="2" s="1"/>
  <c r="I123" i="2"/>
  <c r="I130" i="2" s="1"/>
  <c r="F270" i="2"/>
  <c r="M315" i="2"/>
  <c r="K270" i="2"/>
  <c r="M135" i="2"/>
  <c r="F109" i="2"/>
  <c r="F115" i="2" s="1"/>
  <c r="F117" i="2"/>
  <c r="F120" i="2" s="1"/>
  <c r="J270" i="2"/>
  <c r="M270" i="2"/>
  <c r="O270" i="2"/>
  <c r="K109" i="2"/>
  <c r="K115" i="2" s="1"/>
  <c r="J117" i="2"/>
  <c r="J120" i="2" s="1"/>
  <c r="J135" i="2" s="1"/>
  <c r="E224" i="2"/>
  <c r="K224" i="2"/>
  <c r="H179" i="2"/>
  <c r="G117" i="2"/>
  <c r="G120" i="2" s="1"/>
  <c r="K117" i="2"/>
  <c r="K120" i="2" s="1"/>
  <c r="E120" i="2"/>
  <c r="F179" i="2"/>
  <c r="K179" i="2"/>
  <c r="H117" i="2"/>
  <c r="H120" i="2" s="1"/>
  <c r="N117" i="2"/>
  <c r="N120" i="2" s="1"/>
  <c r="P179" i="2"/>
  <c r="N270" i="2"/>
  <c r="I117" i="2"/>
  <c r="I120" i="2" s="1"/>
  <c r="Q117" i="2"/>
  <c r="Q120" i="2" s="1"/>
  <c r="N315" i="2"/>
  <c r="N224" i="2"/>
  <c r="Q179" i="2"/>
  <c r="F224" i="2"/>
  <c r="O135" i="2"/>
  <c r="G109" i="2"/>
  <c r="G115" i="2" s="1"/>
  <c r="N109" i="2"/>
  <c r="N115" i="2" s="1"/>
  <c r="H270" i="2"/>
  <c r="I224" i="2"/>
  <c r="I179" i="2"/>
  <c r="I270" i="2"/>
  <c r="P270" i="2"/>
  <c r="G130" i="2"/>
  <c r="G315" i="2"/>
  <c r="Q224" i="2"/>
  <c r="G264" i="2"/>
  <c r="G270" i="2" s="1"/>
  <c r="H109" i="2"/>
  <c r="H115" i="2" s="1"/>
  <c r="P109" i="2"/>
  <c r="P115" i="2" s="1"/>
  <c r="I109" i="2"/>
  <c r="I115" i="2" s="1"/>
  <c r="Q109" i="2"/>
  <c r="Q115" i="2" s="1"/>
  <c r="Q315" i="2"/>
  <c r="Q270" i="2"/>
  <c r="F315" i="2"/>
  <c r="G179" i="2"/>
  <c r="P315" i="2"/>
  <c r="P224" i="2"/>
  <c r="H315" i="2"/>
  <c r="I315" i="2"/>
  <c r="H224" i="2"/>
  <c r="G224" i="2"/>
  <c r="L135" i="2"/>
  <c r="N130" i="2"/>
  <c r="H123" i="2"/>
  <c r="H130" i="2" s="1"/>
  <c r="Q123" i="2"/>
  <c r="Q130" i="2" s="1"/>
  <c r="E130" i="2"/>
  <c r="F123" i="2"/>
  <c r="F130" i="2" s="1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O83" i="2"/>
  <c r="M83" i="2"/>
  <c r="L83" i="2"/>
  <c r="J83" i="2"/>
  <c r="Q82" i="2"/>
  <c r="P82" i="2"/>
  <c r="N82" i="2"/>
  <c r="I82" i="2"/>
  <c r="H82" i="2"/>
  <c r="G82" i="2"/>
  <c r="F82" i="2"/>
  <c r="Q81" i="2"/>
  <c r="P81" i="2"/>
  <c r="N81" i="2"/>
  <c r="I81" i="2"/>
  <c r="H81" i="2"/>
  <c r="G81" i="2"/>
  <c r="F81" i="2"/>
  <c r="Q79" i="2"/>
  <c r="P79" i="2"/>
  <c r="N79" i="2"/>
  <c r="K79" i="2"/>
  <c r="I79" i="2"/>
  <c r="H79" i="2"/>
  <c r="G79" i="2"/>
  <c r="F79" i="2"/>
  <c r="E78" i="2"/>
  <c r="E83" i="2" s="1"/>
  <c r="O75" i="2"/>
  <c r="M75" i="2"/>
  <c r="L75" i="2"/>
  <c r="J75" i="2"/>
  <c r="E75" i="2"/>
  <c r="Q73" i="2"/>
  <c r="Q75" i="2" s="1"/>
  <c r="P73" i="2"/>
  <c r="P75" i="2" s="1"/>
  <c r="N73" i="2"/>
  <c r="N75" i="2" s="1"/>
  <c r="K73" i="2"/>
  <c r="K75" i="2" s="1"/>
  <c r="I73" i="2"/>
  <c r="I75" i="2" s="1"/>
  <c r="H73" i="2"/>
  <c r="H75" i="2" s="1"/>
  <c r="G73" i="2"/>
  <c r="G75" i="2" s="1"/>
  <c r="F73" i="2"/>
  <c r="F75" i="2" s="1"/>
  <c r="Q70" i="2"/>
  <c r="P70" i="2"/>
  <c r="N70" i="2"/>
  <c r="I70" i="2"/>
  <c r="H70" i="2"/>
  <c r="G70" i="2"/>
  <c r="F70" i="2"/>
  <c r="Q69" i="2"/>
  <c r="P69" i="2"/>
  <c r="N69" i="2"/>
  <c r="I69" i="2"/>
  <c r="H69" i="2"/>
  <c r="G69" i="2"/>
  <c r="F69" i="2"/>
  <c r="Q67" i="2"/>
  <c r="P67" i="2"/>
  <c r="O67" i="2"/>
  <c r="N67" i="2"/>
  <c r="M67" i="2"/>
  <c r="L67" i="2"/>
  <c r="K67" i="2"/>
  <c r="J67" i="2"/>
  <c r="I67" i="2"/>
  <c r="H67" i="2"/>
  <c r="G67" i="2"/>
  <c r="F67" i="2"/>
  <c r="E66" i="2"/>
  <c r="E71" i="2" s="1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N64" i="2"/>
  <c r="M64" i="2"/>
  <c r="K64" i="2"/>
  <c r="I64" i="2"/>
  <c r="H64" i="2"/>
  <c r="G64" i="2"/>
  <c r="F64" i="2"/>
  <c r="O63" i="2"/>
  <c r="M63" i="2"/>
  <c r="L63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Q58" i="2"/>
  <c r="P58" i="2"/>
  <c r="O58" i="2"/>
  <c r="N58" i="2"/>
  <c r="M58" i="2"/>
  <c r="L58" i="2"/>
  <c r="K58" i="2"/>
  <c r="J58" i="2"/>
  <c r="I58" i="2"/>
  <c r="H58" i="2"/>
  <c r="G58" i="2"/>
  <c r="F58" i="2"/>
  <c r="Q57" i="2"/>
  <c r="P57" i="2"/>
  <c r="N57" i="2"/>
  <c r="I57" i="2"/>
  <c r="H57" i="2"/>
  <c r="G57" i="2"/>
  <c r="F57" i="2"/>
  <c r="E58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O41" i="2"/>
  <c r="M41" i="2"/>
  <c r="L41" i="2"/>
  <c r="J41" i="2"/>
  <c r="Q40" i="2"/>
  <c r="P40" i="2"/>
  <c r="N40" i="2"/>
  <c r="I40" i="2"/>
  <c r="H40" i="2"/>
  <c r="G40" i="2"/>
  <c r="F40" i="2"/>
  <c r="Q39" i="2"/>
  <c r="P39" i="2"/>
  <c r="N39" i="2"/>
  <c r="I39" i="2"/>
  <c r="H39" i="2"/>
  <c r="G39" i="2"/>
  <c r="F39" i="2"/>
  <c r="E37" i="2"/>
  <c r="E41" i="2" s="1"/>
  <c r="Q33" i="2"/>
  <c r="P33" i="2"/>
  <c r="N33" i="2"/>
  <c r="K33" i="2"/>
  <c r="K41" i="2" s="1"/>
  <c r="I33" i="2"/>
  <c r="H33" i="2"/>
  <c r="G33" i="2"/>
  <c r="F33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O27" i="2"/>
  <c r="Q26" i="2"/>
  <c r="P26" i="2"/>
  <c r="N26" i="2"/>
  <c r="H26" i="2"/>
  <c r="F26" i="2"/>
  <c r="Q25" i="2"/>
  <c r="P25" i="2"/>
  <c r="N25" i="2"/>
  <c r="I25" i="2"/>
  <c r="H25" i="2"/>
  <c r="G25" i="2"/>
  <c r="F25" i="2"/>
  <c r="Q23" i="2"/>
  <c r="P23" i="2"/>
  <c r="N23" i="2"/>
  <c r="I23" i="2"/>
  <c r="H23" i="2"/>
  <c r="G23" i="2"/>
  <c r="F23" i="2"/>
  <c r="E27" i="2"/>
  <c r="M27" i="2"/>
  <c r="L27" i="2"/>
  <c r="J18" i="2"/>
  <c r="J27" i="2" s="1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O13" i="2"/>
  <c r="M13" i="2"/>
  <c r="L13" i="2"/>
  <c r="K13" i="2"/>
  <c r="J13" i="2"/>
  <c r="Q11" i="2"/>
  <c r="Q13" i="2" s="1"/>
  <c r="P11" i="2"/>
  <c r="P13" i="2" s="1"/>
  <c r="N11" i="2"/>
  <c r="N13" i="2" s="1"/>
  <c r="I11" i="2"/>
  <c r="I13" i="2" s="1"/>
  <c r="H11" i="2"/>
  <c r="H13" i="2" s="1"/>
  <c r="G11" i="2"/>
  <c r="G13" i="2" s="1"/>
  <c r="F11" i="2"/>
  <c r="F13" i="2" s="1"/>
  <c r="E10" i="2"/>
  <c r="E13" i="2" s="1"/>
  <c r="L316" i="2" l="1"/>
  <c r="L643" i="2" s="1"/>
  <c r="L644" i="2" s="1"/>
  <c r="N316" i="2"/>
  <c r="N643" i="2" s="1"/>
  <c r="N644" i="2" s="1"/>
  <c r="M316" i="2"/>
  <c r="M643" i="2" s="1"/>
  <c r="M644" i="2" s="1"/>
  <c r="J316" i="2"/>
  <c r="J643" i="2" s="1"/>
  <c r="J644" i="2" s="1"/>
  <c r="E89" i="2"/>
  <c r="Q316" i="2"/>
  <c r="Q643" i="2" s="1"/>
  <c r="Q644" i="2" s="1"/>
  <c r="P135" i="2"/>
  <c r="O316" i="2"/>
  <c r="O643" i="2" s="1"/>
  <c r="O644" i="2" s="1"/>
  <c r="E135" i="2"/>
  <c r="K316" i="2"/>
  <c r="K643" i="2" s="1"/>
  <c r="K644" i="2" s="1"/>
  <c r="J71" i="2"/>
  <c r="J89" i="2" s="1"/>
  <c r="K77" i="2"/>
  <c r="K83" i="2" s="1"/>
  <c r="N71" i="2"/>
  <c r="K135" i="2"/>
  <c r="N135" i="2"/>
  <c r="F135" i="2"/>
  <c r="I71" i="2"/>
  <c r="G135" i="2"/>
  <c r="I135" i="2"/>
  <c r="I316" i="2"/>
  <c r="I643" i="2" s="1"/>
  <c r="I644" i="2" s="1"/>
  <c r="F316" i="2"/>
  <c r="F643" i="2" s="1"/>
  <c r="F644" i="2" s="1"/>
  <c r="H135" i="2"/>
  <c r="P316" i="2"/>
  <c r="P643" i="2" s="1"/>
  <c r="P644" i="2" s="1"/>
  <c r="G71" i="2"/>
  <c r="L71" i="2"/>
  <c r="L89" i="2" s="1"/>
  <c r="P71" i="2"/>
  <c r="K71" i="2"/>
  <c r="O71" i="2"/>
  <c r="O89" i="2" s="1"/>
  <c r="G316" i="2"/>
  <c r="G643" i="2" s="1"/>
  <c r="G644" i="2" s="1"/>
  <c r="H316" i="2"/>
  <c r="H643" i="2" s="1"/>
  <c r="H644" i="2" s="1"/>
  <c r="F71" i="2"/>
  <c r="H71" i="2"/>
  <c r="M71" i="2"/>
  <c r="M89" i="2" s="1"/>
  <c r="Q71" i="2"/>
  <c r="F77" i="2"/>
  <c r="F83" i="2" s="1"/>
  <c r="Q135" i="2"/>
  <c r="G77" i="2"/>
  <c r="G83" i="2" s="1"/>
  <c r="H77" i="2"/>
  <c r="H83" i="2" s="1"/>
  <c r="P77" i="2"/>
  <c r="P83" i="2" s="1"/>
  <c r="N77" i="2"/>
  <c r="N83" i="2" s="1"/>
  <c r="I77" i="2"/>
  <c r="I83" i="2" s="1"/>
  <c r="Q77" i="2"/>
  <c r="Q83" i="2" s="1"/>
  <c r="G27" i="2"/>
  <c r="K27" i="2"/>
  <c r="K47" i="2" s="1"/>
  <c r="L47" i="2"/>
  <c r="E47" i="2"/>
  <c r="J47" i="2"/>
  <c r="O47" i="2"/>
  <c r="H27" i="2"/>
  <c r="I27" i="2"/>
  <c r="P27" i="2"/>
  <c r="F27" i="2"/>
  <c r="Q27" i="2"/>
  <c r="N27" i="2"/>
  <c r="M47" i="2"/>
  <c r="F36" i="2"/>
  <c r="F41" i="2" s="1"/>
  <c r="G36" i="2"/>
  <c r="G41" i="2" s="1"/>
  <c r="P36" i="2"/>
  <c r="P41" i="2" s="1"/>
  <c r="I36" i="2"/>
  <c r="I41" i="2" s="1"/>
  <c r="N36" i="2"/>
  <c r="N41" i="2" s="1"/>
  <c r="H36" i="2"/>
  <c r="H41" i="2" s="1"/>
  <c r="Q36" i="2"/>
  <c r="Q41" i="2" s="1"/>
  <c r="F427" i="1"/>
  <c r="G427" i="1"/>
  <c r="H427" i="1"/>
  <c r="I427" i="1"/>
  <c r="K427" i="1"/>
  <c r="K433" i="1" s="1"/>
  <c r="N427" i="1"/>
  <c r="N433" i="1" s="1"/>
  <c r="P427" i="1"/>
  <c r="E429" i="1"/>
  <c r="F432" i="1"/>
  <c r="G432" i="1"/>
  <c r="H432" i="1"/>
  <c r="I432" i="1"/>
  <c r="N432" i="1"/>
  <c r="P432" i="1"/>
  <c r="Q432" i="1"/>
  <c r="E433" i="1"/>
  <c r="F433" i="1"/>
  <c r="G433" i="1"/>
  <c r="H433" i="1"/>
  <c r="I433" i="1"/>
  <c r="J433" i="1"/>
  <c r="L433" i="1"/>
  <c r="M433" i="1"/>
  <c r="O433" i="1"/>
  <c r="Q433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F439" i="1"/>
  <c r="G439" i="1"/>
  <c r="H439" i="1"/>
  <c r="I439" i="1"/>
  <c r="K439" i="1"/>
  <c r="N439" i="1"/>
  <c r="P439" i="1"/>
  <c r="Q439" i="1"/>
  <c r="E441" i="1"/>
  <c r="I440" i="1" s="1"/>
  <c r="F442" i="1"/>
  <c r="G442" i="1"/>
  <c r="H442" i="1"/>
  <c r="I442" i="1"/>
  <c r="N442" i="1"/>
  <c r="P442" i="1"/>
  <c r="Q442" i="1"/>
  <c r="F444" i="1"/>
  <c r="G444" i="1"/>
  <c r="H444" i="1"/>
  <c r="I444" i="1"/>
  <c r="N444" i="1"/>
  <c r="P444" i="1"/>
  <c r="Q444" i="1"/>
  <c r="F445" i="1"/>
  <c r="G445" i="1"/>
  <c r="H445" i="1"/>
  <c r="I445" i="1"/>
  <c r="N445" i="1"/>
  <c r="P445" i="1"/>
  <c r="Q445" i="1"/>
  <c r="J446" i="1"/>
  <c r="L446" i="1"/>
  <c r="M446" i="1"/>
  <c r="O446" i="1"/>
  <c r="E449" i="1"/>
  <c r="F448" i="1" s="1"/>
  <c r="F451" i="1" s="1"/>
  <c r="L451" i="1"/>
  <c r="M451" i="1"/>
  <c r="O451" i="1"/>
  <c r="F453" i="1"/>
  <c r="G453" i="1"/>
  <c r="H453" i="1"/>
  <c r="I453" i="1"/>
  <c r="J453" i="1"/>
  <c r="J461" i="1" s="1"/>
  <c r="K453" i="1"/>
  <c r="L453" i="1"/>
  <c r="L461" i="1" s="1"/>
  <c r="N453" i="1"/>
  <c r="P453" i="1"/>
  <c r="Q453" i="1"/>
  <c r="E455" i="1"/>
  <c r="I454" i="1" s="1"/>
  <c r="E457" i="1"/>
  <c r="F459" i="1"/>
  <c r="G459" i="1"/>
  <c r="H459" i="1"/>
  <c r="I459" i="1"/>
  <c r="N459" i="1"/>
  <c r="P459" i="1"/>
  <c r="Q459" i="1"/>
  <c r="F460" i="1"/>
  <c r="G460" i="1"/>
  <c r="H460" i="1"/>
  <c r="I460" i="1"/>
  <c r="N460" i="1"/>
  <c r="P460" i="1"/>
  <c r="Q460" i="1"/>
  <c r="K461" i="1"/>
  <c r="M461" i="1"/>
  <c r="O461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P47" i="2" l="1"/>
  <c r="H89" i="2"/>
  <c r="K89" i="2"/>
  <c r="Q89" i="2"/>
  <c r="G47" i="2"/>
  <c r="I89" i="2"/>
  <c r="E316" i="2"/>
  <c r="E643" i="2" s="1"/>
  <c r="E644" i="2" s="1"/>
  <c r="N89" i="2"/>
  <c r="G89" i="2"/>
  <c r="F89" i="2"/>
  <c r="P89" i="2"/>
  <c r="N47" i="2"/>
  <c r="H47" i="2"/>
  <c r="F47" i="2"/>
  <c r="I47" i="2"/>
  <c r="Q47" i="2"/>
  <c r="E461" i="1"/>
  <c r="O466" i="1"/>
  <c r="I446" i="1"/>
  <c r="Q454" i="1"/>
  <c r="Q461" i="1" s="1"/>
  <c r="P448" i="1"/>
  <c r="P451" i="1" s="1"/>
  <c r="Q440" i="1"/>
  <c r="Q446" i="1" s="1"/>
  <c r="G440" i="1"/>
  <c r="G446" i="1" s="1"/>
  <c r="G454" i="1"/>
  <c r="G461" i="1" s="1"/>
  <c r="H448" i="1"/>
  <c r="H451" i="1" s="1"/>
  <c r="P454" i="1"/>
  <c r="P461" i="1" s="1"/>
  <c r="P466" i="1" s="1"/>
  <c r="N448" i="1"/>
  <c r="N451" i="1" s="1"/>
  <c r="E446" i="1"/>
  <c r="P440" i="1"/>
  <c r="L466" i="1"/>
  <c r="H440" i="1"/>
  <c r="H446" i="1" s="1"/>
  <c r="H454" i="1"/>
  <c r="H461" i="1" s="1"/>
  <c r="E451" i="1"/>
  <c r="I448" i="1"/>
  <c r="I451" i="1" s="1"/>
  <c r="M466" i="1"/>
  <c r="N440" i="1"/>
  <c r="N446" i="1" s="1"/>
  <c r="P446" i="1"/>
  <c r="I461" i="1"/>
  <c r="N454" i="1"/>
  <c r="N461" i="1" s="1"/>
  <c r="F454" i="1"/>
  <c r="F461" i="1" s="1"/>
  <c r="K448" i="1"/>
  <c r="K451" i="1" s="1"/>
  <c r="G448" i="1"/>
  <c r="G451" i="1" s="1"/>
  <c r="K440" i="1"/>
  <c r="K446" i="1" s="1"/>
  <c r="F440" i="1"/>
  <c r="F446" i="1" s="1"/>
  <c r="Q448" i="1"/>
  <c r="Q451" i="1" s="1"/>
  <c r="J448" i="1"/>
  <c r="J451" i="1" s="1"/>
  <c r="J466" i="1" s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Q641" i="1"/>
  <c r="P641" i="1"/>
  <c r="N641" i="1"/>
  <c r="I641" i="1"/>
  <c r="H641" i="1"/>
  <c r="G641" i="1"/>
  <c r="F641" i="1"/>
  <c r="Q640" i="1"/>
  <c r="P640" i="1"/>
  <c r="N640" i="1"/>
  <c r="I640" i="1"/>
  <c r="H640" i="1"/>
  <c r="G640" i="1"/>
  <c r="F640" i="1"/>
  <c r="M638" i="1"/>
  <c r="E637" i="1"/>
  <c r="N636" i="1" s="1"/>
  <c r="Q635" i="1"/>
  <c r="P635" i="1"/>
  <c r="O635" i="1"/>
  <c r="O642" i="1" s="1"/>
  <c r="N635" i="1"/>
  <c r="M635" i="1"/>
  <c r="L635" i="1"/>
  <c r="L642" i="1" s="1"/>
  <c r="K635" i="1"/>
  <c r="J635" i="1"/>
  <c r="J642" i="1" s="1"/>
  <c r="I635" i="1"/>
  <c r="H635" i="1"/>
  <c r="F635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Q628" i="1"/>
  <c r="P628" i="1"/>
  <c r="N628" i="1"/>
  <c r="I628" i="1"/>
  <c r="H628" i="1"/>
  <c r="G628" i="1"/>
  <c r="F628" i="1"/>
  <c r="Q627" i="1"/>
  <c r="P627" i="1"/>
  <c r="N627" i="1"/>
  <c r="I627" i="1"/>
  <c r="H627" i="1"/>
  <c r="G627" i="1"/>
  <c r="F627" i="1"/>
  <c r="Q624" i="1"/>
  <c r="O624" i="1"/>
  <c r="M624" i="1"/>
  <c r="L624" i="1"/>
  <c r="E623" i="1"/>
  <c r="E629" i="1" s="1"/>
  <c r="Q621" i="1"/>
  <c r="P621" i="1"/>
  <c r="O621" i="1"/>
  <c r="N621" i="1"/>
  <c r="M621" i="1"/>
  <c r="L621" i="1"/>
  <c r="K621" i="1"/>
  <c r="K629" i="1" s="1"/>
  <c r="J621" i="1"/>
  <c r="J629" i="1" s="1"/>
  <c r="I621" i="1"/>
  <c r="H621" i="1"/>
  <c r="F621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O616" i="1"/>
  <c r="M616" i="1"/>
  <c r="L616" i="1"/>
  <c r="K616" i="1"/>
  <c r="J616" i="1"/>
  <c r="Q615" i="1"/>
  <c r="P615" i="1"/>
  <c r="N615" i="1"/>
  <c r="I615" i="1"/>
  <c r="H615" i="1"/>
  <c r="G615" i="1"/>
  <c r="F615" i="1"/>
  <c r="E612" i="1"/>
  <c r="Q611" i="1" s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Q596" i="1"/>
  <c r="P596" i="1"/>
  <c r="N596" i="1"/>
  <c r="I596" i="1"/>
  <c r="H596" i="1"/>
  <c r="G596" i="1"/>
  <c r="F596" i="1"/>
  <c r="Q595" i="1"/>
  <c r="P595" i="1"/>
  <c r="N595" i="1"/>
  <c r="I595" i="1"/>
  <c r="H595" i="1"/>
  <c r="G595" i="1"/>
  <c r="F595" i="1"/>
  <c r="E593" i="1"/>
  <c r="I592" i="1" s="1"/>
  <c r="Q590" i="1"/>
  <c r="P590" i="1"/>
  <c r="O590" i="1"/>
  <c r="O597" i="1" s="1"/>
  <c r="N590" i="1"/>
  <c r="M590" i="1"/>
  <c r="M597" i="1" s="1"/>
  <c r="L590" i="1"/>
  <c r="L597" i="1" s="1"/>
  <c r="K590" i="1"/>
  <c r="J590" i="1"/>
  <c r="J597" i="1" s="1"/>
  <c r="I590" i="1"/>
  <c r="H590" i="1"/>
  <c r="F590" i="1"/>
  <c r="G590" i="1" s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Q583" i="1"/>
  <c r="P583" i="1"/>
  <c r="N583" i="1"/>
  <c r="I583" i="1"/>
  <c r="H583" i="1"/>
  <c r="G583" i="1"/>
  <c r="F583" i="1"/>
  <c r="Q582" i="1"/>
  <c r="P582" i="1"/>
  <c r="N582" i="1"/>
  <c r="I582" i="1"/>
  <c r="H582" i="1"/>
  <c r="G582" i="1"/>
  <c r="F582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79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7" i="1"/>
  <c r="N576" i="1" s="1"/>
  <c r="Q575" i="1"/>
  <c r="P575" i="1"/>
  <c r="N575" i="1"/>
  <c r="K575" i="1"/>
  <c r="J575" i="1"/>
  <c r="I575" i="1"/>
  <c r="H575" i="1"/>
  <c r="G575" i="1"/>
  <c r="F575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6" i="1"/>
  <c r="E570" i="1" s="1"/>
  <c r="Q565" i="1"/>
  <c r="P565" i="1"/>
  <c r="O565" i="1"/>
  <c r="N565" i="1"/>
  <c r="M565" i="1"/>
  <c r="L565" i="1"/>
  <c r="K565" i="1"/>
  <c r="J565" i="1"/>
  <c r="I565" i="1"/>
  <c r="H565" i="1"/>
  <c r="G565" i="1"/>
  <c r="F56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O551" i="1"/>
  <c r="M551" i="1"/>
  <c r="L551" i="1"/>
  <c r="Q550" i="1"/>
  <c r="P550" i="1"/>
  <c r="N550" i="1"/>
  <c r="I550" i="1"/>
  <c r="H550" i="1"/>
  <c r="G550" i="1"/>
  <c r="F550" i="1"/>
  <c r="Q549" i="1"/>
  <c r="P549" i="1"/>
  <c r="N549" i="1"/>
  <c r="I549" i="1"/>
  <c r="H549" i="1"/>
  <c r="G549" i="1"/>
  <c r="F549" i="1"/>
  <c r="Q547" i="1"/>
  <c r="P547" i="1"/>
  <c r="N547" i="1"/>
  <c r="I547" i="1"/>
  <c r="H547" i="1"/>
  <c r="G547" i="1"/>
  <c r="F547" i="1"/>
  <c r="E546" i="1"/>
  <c r="N545" i="1" s="1"/>
  <c r="Q544" i="1"/>
  <c r="P544" i="1"/>
  <c r="N544" i="1"/>
  <c r="K544" i="1"/>
  <c r="J544" i="1"/>
  <c r="J551" i="1" s="1"/>
  <c r="I544" i="1"/>
  <c r="H544" i="1"/>
  <c r="G544" i="1"/>
  <c r="F544" i="1"/>
  <c r="O542" i="1"/>
  <c r="M542" i="1"/>
  <c r="L542" i="1"/>
  <c r="J542" i="1"/>
  <c r="E540" i="1"/>
  <c r="Q539" i="1" s="1"/>
  <c r="Q542" i="1" s="1"/>
  <c r="Q536" i="1"/>
  <c r="P536" i="1"/>
  <c r="N536" i="1"/>
  <c r="I536" i="1"/>
  <c r="H536" i="1"/>
  <c r="G536" i="1"/>
  <c r="F536" i="1"/>
  <c r="Q535" i="1"/>
  <c r="P535" i="1"/>
  <c r="N535" i="1"/>
  <c r="I535" i="1"/>
  <c r="H535" i="1"/>
  <c r="G535" i="1"/>
  <c r="F535" i="1"/>
  <c r="Q533" i="1"/>
  <c r="L533" i="1"/>
  <c r="E532" i="1"/>
  <c r="E537" i="1" s="1"/>
  <c r="Q530" i="1"/>
  <c r="P530" i="1"/>
  <c r="N530" i="1"/>
  <c r="M530" i="1"/>
  <c r="K530" i="1"/>
  <c r="I530" i="1"/>
  <c r="H530" i="1"/>
  <c r="G530" i="1"/>
  <c r="F530" i="1"/>
  <c r="O529" i="1"/>
  <c r="O537" i="1" s="1"/>
  <c r="M529" i="1"/>
  <c r="L529" i="1"/>
  <c r="J529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O524" i="1"/>
  <c r="M524" i="1"/>
  <c r="L524" i="1"/>
  <c r="K524" i="1"/>
  <c r="J524" i="1"/>
  <c r="Q523" i="1"/>
  <c r="P523" i="1"/>
  <c r="N523" i="1"/>
  <c r="I523" i="1"/>
  <c r="H523" i="1"/>
  <c r="G523" i="1"/>
  <c r="F523" i="1"/>
  <c r="E520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O505" i="1"/>
  <c r="M505" i="1"/>
  <c r="L505" i="1"/>
  <c r="J505" i="1"/>
  <c r="E505" i="1"/>
  <c r="Q504" i="1"/>
  <c r="P504" i="1"/>
  <c r="N504" i="1"/>
  <c r="I504" i="1"/>
  <c r="H504" i="1"/>
  <c r="G504" i="1"/>
  <c r="F504" i="1"/>
  <c r="Q503" i="1"/>
  <c r="P503" i="1"/>
  <c r="N503" i="1"/>
  <c r="I503" i="1"/>
  <c r="H503" i="1"/>
  <c r="G503" i="1"/>
  <c r="F503" i="1"/>
  <c r="Q498" i="1"/>
  <c r="P498" i="1"/>
  <c r="N498" i="1"/>
  <c r="K498" i="1"/>
  <c r="K505" i="1" s="1"/>
  <c r="I498" i="1"/>
  <c r="H498" i="1"/>
  <c r="G498" i="1"/>
  <c r="F498" i="1"/>
  <c r="O496" i="1"/>
  <c r="M496" i="1"/>
  <c r="L496" i="1"/>
  <c r="J496" i="1"/>
  <c r="E496" i="1"/>
  <c r="Q494" i="1"/>
  <c r="Q496" i="1" s="1"/>
  <c r="P494" i="1"/>
  <c r="P496" i="1" s="1"/>
  <c r="N494" i="1"/>
  <c r="N496" i="1" s="1"/>
  <c r="K494" i="1"/>
  <c r="K496" i="1" s="1"/>
  <c r="I494" i="1"/>
  <c r="I496" i="1" s="1"/>
  <c r="H494" i="1"/>
  <c r="H496" i="1" s="1"/>
  <c r="G494" i="1"/>
  <c r="G496" i="1" s="1"/>
  <c r="F494" i="1"/>
  <c r="F496" i="1" s="1"/>
  <c r="Q491" i="1"/>
  <c r="P491" i="1"/>
  <c r="N491" i="1"/>
  <c r="I491" i="1"/>
  <c r="H491" i="1"/>
  <c r="G491" i="1"/>
  <c r="F491" i="1"/>
  <c r="Q490" i="1"/>
  <c r="P490" i="1"/>
  <c r="N490" i="1"/>
  <c r="I490" i="1"/>
  <c r="H490" i="1"/>
  <c r="G490" i="1"/>
  <c r="F490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Q487" i="1"/>
  <c r="P487" i="1"/>
  <c r="N487" i="1"/>
  <c r="K487" i="1"/>
  <c r="I487" i="1"/>
  <c r="H487" i="1"/>
  <c r="G487" i="1"/>
  <c r="F487" i="1"/>
  <c r="E486" i="1"/>
  <c r="E492" i="1" s="1"/>
  <c r="Q485" i="1"/>
  <c r="P485" i="1"/>
  <c r="O485" i="1"/>
  <c r="N485" i="1"/>
  <c r="K485" i="1"/>
  <c r="J485" i="1"/>
  <c r="I485" i="1"/>
  <c r="H485" i="1"/>
  <c r="G485" i="1"/>
  <c r="F485" i="1"/>
  <c r="Q484" i="1"/>
  <c r="P484" i="1"/>
  <c r="O484" i="1"/>
  <c r="N484" i="1"/>
  <c r="M484" i="1"/>
  <c r="L484" i="1"/>
  <c r="K484" i="1"/>
  <c r="J484" i="1"/>
  <c r="I484" i="1"/>
  <c r="H484" i="1"/>
  <c r="F484" i="1"/>
  <c r="G484" i="1" s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Q478" i="1"/>
  <c r="P478" i="1"/>
  <c r="N478" i="1"/>
  <c r="I478" i="1"/>
  <c r="H478" i="1"/>
  <c r="G478" i="1"/>
  <c r="F478" i="1"/>
  <c r="Q476" i="1"/>
  <c r="P476" i="1"/>
  <c r="N476" i="1"/>
  <c r="L476" i="1"/>
  <c r="K476" i="1"/>
  <c r="J476" i="1"/>
  <c r="I476" i="1"/>
  <c r="H476" i="1"/>
  <c r="G476" i="1"/>
  <c r="F476" i="1"/>
  <c r="E475" i="1"/>
  <c r="E479" i="1" s="1"/>
  <c r="Q474" i="1"/>
  <c r="P474" i="1"/>
  <c r="O474" i="1"/>
  <c r="O479" i="1" s="1"/>
  <c r="N474" i="1"/>
  <c r="M474" i="1"/>
  <c r="M479" i="1" s="1"/>
  <c r="L474" i="1"/>
  <c r="K474" i="1"/>
  <c r="J474" i="1"/>
  <c r="I474" i="1"/>
  <c r="H474" i="1"/>
  <c r="G474" i="1"/>
  <c r="F474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O413" i="1"/>
  <c r="M413" i="1"/>
  <c r="L413" i="1"/>
  <c r="J413" i="1"/>
  <c r="Q412" i="1"/>
  <c r="P412" i="1"/>
  <c r="N412" i="1"/>
  <c r="I412" i="1"/>
  <c r="H412" i="1"/>
  <c r="G412" i="1"/>
  <c r="F412" i="1"/>
  <c r="Q411" i="1"/>
  <c r="P411" i="1"/>
  <c r="N411" i="1"/>
  <c r="I411" i="1"/>
  <c r="H411" i="1"/>
  <c r="G411" i="1"/>
  <c r="F411" i="1"/>
  <c r="Q409" i="1"/>
  <c r="P409" i="1"/>
  <c r="N409" i="1"/>
  <c r="K409" i="1"/>
  <c r="I409" i="1"/>
  <c r="H409" i="1"/>
  <c r="G409" i="1"/>
  <c r="F409" i="1"/>
  <c r="E408" i="1"/>
  <c r="H407" i="1" s="1"/>
  <c r="O405" i="1"/>
  <c r="M405" i="1"/>
  <c r="L405" i="1"/>
  <c r="J405" i="1"/>
  <c r="E405" i="1"/>
  <c r="Q403" i="1"/>
  <c r="Q405" i="1" s="1"/>
  <c r="P403" i="1"/>
  <c r="P405" i="1" s="1"/>
  <c r="N403" i="1"/>
  <c r="N405" i="1" s="1"/>
  <c r="K403" i="1"/>
  <c r="K405" i="1" s="1"/>
  <c r="I403" i="1"/>
  <c r="I405" i="1" s="1"/>
  <c r="H403" i="1"/>
  <c r="H405" i="1" s="1"/>
  <c r="G403" i="1"/>
  <c r="G405" i="1" s="1"/>
  <c r="F403" i="1"/>
  <c r="F405" i="1" s="1"/>
  <c r="Q400" i="1"/>
  <c r="P400" i="1"/>
  <c r="N400" i="1"/>
  <c r="I400" i="1"/>
  <c r="H400" i="1"/>
  <c r="G400" i="1"/>
  <c r="F400" i="1"/>
  <c r="Q399" i="1"/>
  <c r="P399" i="1"/>
  <c r="N399" i="1"/>
  <c r="I399" i="1"/>
  <c r="H399" i="1"/>
  <c r="G399" i="1"/>
  <c r="F399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6" i="1"/>
  <c r="E401" i="1" s="1"/>
  <c r="Q395" i="1"/>
  <c r="P395" i="1"/>
  <c r="O395" i="1"/>
  <c r="N395" i="1"/>
  <c r="M395" i="1"/>
  <c r="L395" i="1"/>
  <c r="K395" i="1"/>
  <c r="J395" i="1"/>
  <c r="I395" i="1"/>
  <c r="H395" i="1"/>
  <c r="G395" i="1"/>
  <c r="F395" i="1"/>
  <c r="Q394" i="1"/>
  <c r="P394" i="1"/>
  <c r="N394" i="1"/>
  <c r="M394" i="1"/>
  <c r="K394" i="1"/>
  <c r="I394" i="1"/>
  <c r="H394" i="1"/>
  <c r="G394" i="1"/>
  <c r="F394" i="1"/>
  <c r="Q393" i="1"/>
  <c r="P393" i="1"/>
  <c r="O393" i="1"/>
  <c r="N393" i="1"/>
  <c r="M393" i="1"/>
  <c r="L393" i="1"/>
  <c r="K393" i="1"/>
  <c r="I393" i="1"/>
  <c r="H393" i="1"/>
  <c r="G393" i="1"/>
  <c r="F393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Q387" i="1"/>
  <c r="P387" i="1"/>
  <c r="N387" i="1"/>
  <c r="I387" i="1"/>
  <c r="H387" i="1"/>
  <c r="G387" i="1"/>
  <c r="F387" i="1"/>
  <c r="E385" i="1"/>
  <c r="E388" i="1" s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O370" i="1"/>
  <c r="M370" i="1"/>
  <c r="L370" i="1"/>
  <c r="J370" i="1"/>
  <c r="Q369" i="1"/>
  <c r="P369" i="1"/>
  <c r="N369" i="1"/>
  <c r="I369" i="1"/>
  <c r="H369" i="1"/>
  <c r="G369" i="1"/>
  <c r="F369" i="1"/>
  <c r="Q368" i="1"/>
  <c r="P368" i="1"/>
  <c r="N368" i="1"/>
  <c r="I368" i="1"/>
  <c r="H368" i="1"/>
  <c r="G368" i="1"/>
  <c r="F368" i="1"/>
  <c r="E366" i="1"/>
  <c r="E370" i="1" s="1"/>
  <c r="Q364" i="1"/>
  <c r="P364" i="1"/>
  <c r="N364" i="1"/>
  <c r="K364" i="1"/>
  <c r="I364" i="1"/>
  <c r="H364" i="1"/>
  <c r="G364" i="1"/>
  <c r="F364" i="1"/>
  <c r="Q363" i="1"/>
  <c r="P363" i="1"/>
  <c r="N363" i="1"/>
  <c r="K363" i="1"/>
  <c r="I363" i="1"/>
  <c r="H363" i="1"/>
  <c r="G363" i="1"/>
  <c r="F363" i="1"/>
  <c r="Q362" i="1"/>
  <c r="P362" i="1"/>
  <c r="N362" i="1"/>
  <c r="K362" i="1"/>
  <c r="I362" i="1"/>
  <c r="H362" i="1"/>
  <c r="G362" i="1"/>
  <c r="F362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O356" i="1"/>
  <c r="Q355" i="1"/>
  <c r="P355" i="1"/>
  <c r="N355" i="1"/>
  <c r="H355" i="1"/>
  <c r="F355" i="1"/>
  <c r="Q354" i="1"/>
  <c r="P354" i="1"/>
  <c r="N354" i="1"/>
  <c r="I354" i="1"/>
  <c r="H354" i="1"/>
  <c r="G354" i="1"/>
  <c r="F354" i="1"/>
  <c r="Q352" i="1"/>
  <c r="P352" i="1"/>
  <c r="N352" i="1"/>
  <c r="I352" i="1"/>
  <c r="H352" i="1"/>
  <c r="G352" i="1"/>
  <c r="F352" i="1"/>
  <c r="E351" i="1"/>
  <c r="E356" i="1" s="1"/>
  <c r="Q350" i="1"/>
  <c r="P350" i="1"/>
  <c r="N350" i="1"/>
  <c r="K350" i="1"/>
  <c r="I350" i="1"/>
  <c r="H350" i="1"/>
  <c r="G350" i="1"/>
  <c r="F350" i="1"/>
  <c r="M349" i="1"/>
  <c r="M356" i="1" s="1"/>
  <c r="L349" i="1"/>
  <c r="L356" i="1" s="1"/>
  <c r="Q348" i="1"/>
  <c r="P348" i="1"/>
  <c r="N348" i="1"/>
  <c r="K348" i="1"/>
  <c r="J348" i="1"/>
  <c r="J356" i="1" s="1"/>
  <c r="I348" i="1"/>
  <c r="H348" i="1"/>
  <c r="G348" i="1"/>
  <c r="F348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O343" i="1"/>
  <c r="M343" i="1"/>
  <c r="L343" i="1"/>
  <c r="K343" i="1"/>
  <c r="J343" i="1"/>
  <c r="Q341" i="1"/>
  <c r="Q343" i="1" s="1"/>
  <c r="P341" i="1"/>
  <c r="P343" i="1" s="1"/>
  <c r="N341" i="1"/>
  <c r="N343" i="1" s="1"/>
  <c r="I341" i="1"/>
  <c r="I343" i="1" s="1"/>
  <c r="H341" i="1"/>
  <c r="H343" i="1" s="1"/>
  <c r="G341" i="1"/>
  <c r="G343" i="1" s="1"/>
  <c r="F341" i="1"/>
  <c r="F343" i="1" s="1"/>
  <c r="E340" i="1"/>
  <c r="E343" i="1" s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O324" i="1"/>
  <c r="M324" i="1"/>
  <c r="L324" i="1"/>
  <c r="Q322" i="1"/>
  <c r="P322" i="1"/>
  <c r="N322" i="1"/>
  <c r="I322" i="1"/>
  <c r="H322" i="1"/>
  <c r="G322" i="1"/>
  <c r="F322" i="1"/>
  <c r="Q321" i="1"/>
  <c r="P321" i="1"/>
  <c r="N321" i="1"/>
  <c r="I321" i="1"/>
  <c r="H321" i="1"/>
  <c r="G321" i="1"/>
  <c r="F321" i="1"/>
  <c r="Q319" i="1"/>
  <c r="P319" i="1"/>
  <c r="N319" i="1"/>
  <c r="K319" i="1"/>
  <c r="E318" i="1"/>
  <c r="E324" i="1" s="1"/>
  <c r="Q316" i="1"/>
  <c r="P316" i="1"/>
  <c r="N316" i="1"/>
  <c r="K316" i="1"/>
  <c r="J316" i="1"/>
  <c r="J324" i="1" s="1"/>
  <c r="I316" i="1"/>
  <c r="H316" i="1"/>
  <c r="G316" i="1"/>
  <c r="F316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J310" i="1"/>
  <c r="E310" i="1"/>
  <c r="Q309" i="1"/>
  <c r="P309" i="1"/>
  <c r="N309" i="1"/>
  <c r="I309" i="1"/>
  <c r="H309" i="1"/>
  <c r="G309" i="1"/>
  <c r="F309" i="1"/>
  <c r="Q308" i="1"/>
  <c r="P308" i="1"/>
  <c r="N308" i="1"/>
  <c r="I308" i="1"/>
  <c r="H308" i="1"/>
  <c r="G308" i="1"/>
  <c r="F308" i="1"/>
  <c r="Q306" i="1"/>
  <c r="P306" i="1"/>
  <c r="N306" i="1"/>
  <c r="I306" i="1"/>
  <c r="H306" i="1"/>
  <c r="G306" i="1"/>
  <c r="F306" i="1"/>
  <c r="Q303" i="1"/>
  <c r="P303" i="1"/>
  <c r="O303" i="1"/>
  <c r="N303" i="1"/>
  <c r="K303" i="1"/>
  <c r="I303" i="1"/>
  <c r="H303" i="1"/>
  <c r="G303" i="1"/>
  <c r="F303" i="1"/>
  <c r="Q300" i="1"/>
  <c r="P300" i="1"/>
  <c r="O300" i="1"/>
  <c r="N300" i="1"/>
  <c r="M300" i="1"/>
  <c r="M310" i="1" s="1"/>
  <c r="L300" i="1"/>
  <c r="L310" i="1" s="1"/>
  <c r="K300" i="1"/>
  <c r="I300" i="1"/>
  <c r="H300" i="1"/>
  <c r="G300" i="1"/>
  <c r="F300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O295" i="1"/>
  <c r="M295" i="1"/>
  <c r="L295" i="1"/>
  <c r="K295" i="1"/>
  <c r="J295" i="1"/>
  <c r="Q294" i="1"/>
  <c r="P294" i="1"/>
  <c r="N294" i="1"/>
  <c r="I294" i="1"/>
  <c r="H294" i="1"/>
  <c r="G294" i="1"/>
  <c r="F294" i="1"/>
  <c r="Q293" i="1"/>
  <c r="P293" i="1"/>
  <c r="N293" i="1"/>
  <c r="I293" i="1"/>
  <c r="H293" i="1"/>
  <c r="G293" i="1"/>
  <c r="F293" i="1"/>
  <c r="E290" i="1"/>
  <c r="I289" i="1" s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O275" i="1"/>
  <c r="M275" i="1"/>
  <c r="L275" i="1"/>
  <c r="K275" i="1"/>
  <c r="J275" i="1"/>
  <c r="E275" i="1"/>
  <c r="Q274" i="1"/>
  <c r="P274" i="1"/>
  <c r="N274" i="1"/>
  <c r="I274" i="1"/>
  <c r="H274" i="1"/>
  <c r="G274" i="1"/>
  <c r="F274" i="1"/>
  <c r="Q273" i="1"/>
  <c r="P273" i="1"/>
  <c r="N273" i="1"/>
  <c r="I273" i="1"/>
  <c r="H273" i="1"/>
  <c r="G273" i="1"/>
  <c r="F273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O263" i="1"/>
  <c r="M263" i="1"/>
  <c r="L263" i="1"/>
  <c r="E263" i="1"/>
  <c r="Q262" i="1"/>
  <c r="P262" i="1"/>
  <c r="N262" i="1"/>
  <c r="I262" i="1"/>
  <c r="H262" i="1"/>
  <c r="G262" i="1"/>
  <c r="F262" i="1"/>
  <c r="Q261" i="1"/>
  <c r="P261" i="1"/>
  <c r="N261" i="1"/>
  <c r="I261" i="1"/>
  <c r="H261" i="1"/>
  <c r="G261" i="1"/>
  <c r="F261" i="1"/>
  <c r="Q259" i="1"/>
  <c r="P259" i="1"/>
  <c r="N259" i="1"/>
  <c r="K259" i="1"/>
  <c r="I259" i="1"/>
  <c r="H259" i="1"/>
  <c r="G259" i="1"/>
  <c r="F259" i="1"/>
  <c r="Q258" i="1"/>
  <c r="P258" i="1"/>
  <c r="N258" i="1"/>
  <c r="K258" i="1"/>
  <c r="I258" i="1"/>
  <c r="H258" i="1"/>
  <c r="G258" i="1"/>
  <c r="F258" i="1"/>
  <c r="I256" i="1"/>
  <c r="H256" i="1"/>
  <c r="F256" i="1"/>
  <c r="Q255" i="1"/>
  <c r="P255" i="1"/>
  <c r="N255" i="1"/>
  <c r="K255" i="1"/>
  <c r="I255" i="1"/>
  <c r="H255" i="1"/>
  <c r="G255" i="1"/>
  <c r="F255" i="1"/>
  <c r="Q254" i="1"/>
  <c r="P254" i="1"/>
  <c r="N254" i="1"/>
  <c r="K254" i="1"/>
  <c r="J254" i="1"/>
  <c r="J263" i="1" s="1"/>
  <c r="I254" i="1"/>
  <c r="H254" i="1"/>
  <c r="G254" i="1"/>
  <c r="F254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O249" i="1"/>
  <c r="M249" i="1"/>
  <c r="L249" i="1"/>
  <c r="J249" i="1"/>
  <c r="Q248" i="1"/>
  <c r="Q249" i="1" s="1"/>
  <c r="P248" i="1"/>
  <c r="N248" i="1"/>
  <c r="I248" i="1"/>
  <c r="H248" i="1"/>
  <c r="G248" i="1"/>
  <c r="F248" i="1"/>
  <c r="E246" i="1"/>
  <c r="E249" i="1" s="1"/>
  <c r="P244" i="1"/>
  <c r="N244" i="1"/>
  <c r="K244" i="1"/>
  <c r="K249" i="1" s="1"/>
  <c r="I244" i="1"/>
  <c r="H244" i="1"/>
  <c r="H249" i="1" s="1"/>
  <c r="G244" i="1"/>
  <c r="G249" i="1" s="1"/>
  <c r="F244" i="1"/>
  <c r="F249" i="1" s="1"/>
  <c r="E24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O228" i="1"/>
  <c r="M228" i="1"/>
  <c r="L228" i="1"/>
  <c r="J228" i="1"/>
  <c r="Q226" i="1"/>
  <c r="P226" i="1"/>
  <c r="N226" i="1"/>
  <c r="I226" i="1"/>
  <c r="H226" i="1"/>
  <c r="G226" i="1"/>
  <c r="F226" i="1"/>
  <c r="E224" i="1"/>
  <c r="P223" i="1" s="1"/>
  <c r="E222" i="1"/>
  <c r="P221" i="1" s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J214" i="1"/>
  <c r="Q213" i="1"/>
  <c r="P213" i="1"/>
  <c r="N213" i="1"/>
  <c r="I213" i="1"/>
  <c r="H213" i="1"/>
  <c r="G213" i="1"/>
  <c r="F213" i="1"/>
  <c r="Q212" i="1"/>
  <c r="P212" i="1"/>
  <c r="N212" i="1"/>
  <c r="I212" i="1"/>
  <c r="H212" i="1"/>
  <c r="G212" i="1"/>
  <c r="F212" i="1"/>
  <c r="E210" i="1"/>
  <c r="I209" i="1" s="1"/>
  <c r="E208" i="1"/>
  <c r="P207" i="1" s="1"/>
  <c r="Q206" i="1"/>
  <c r="P206" i="1"/>
  <c r="N206" i="1"/>
  <c r="K206" i="1"/>
  <c r="I206" i="1"/>
  <c r="H206" i="1"/>
  <c r="G206" i="1"/>
  <c r="F206" i="1"/>
  <c r="Q205" i="1"/>
  <c r="P205" i="1"/>
  <c r="O205" i="1"/>
  <c r="O214" i="1" s="1"/>
  <c r="N205" i="1"/>
  <c r="M205" i="1"/>
  <c r="M214" i="1" s="1"/>
  <c r="L205" i="1"/>
  <c r="L214" i="1" s="1"/>
  <c r="K205" i="1"/>
  <c r="I205" i="1"/>
  <c r="H205" i="1"/>
  <c r="G205" i="1"/>
  <c r="F205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O200" i="1"/>
  <c r="M200" i="1"/>
  <c r="L200" i="1"/>
  <c r="K200" i="1"/>
  <c r="J200" i="1"/>
  <c r="Q198" i="1"/>
  <c r="P198" i="1"/>
  <c r="N198" i="1"/>
  <c r="I198" i="1"/>
  <c r="H198" i="1"/>
  <c r="G198" i="1"/>
  <c r="F198" i="1"/>
  <c r="E196" i="1"/>
  <c r="H195" i="1" s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O181" i="1"/>
  <c r="M181" i="1"/>
  <c r="L181" i="1"/>
  <c r="Q180" i="1"/>
  <c r="P180" i="1"/>
  <c r="N180" i="1"/>
  <c r="I180" i="1"/>
  <c r="H180" i="1"/>
  <c r="G180" i="1"/>
  <c r="F180" i="1"/>
  <c r="Q179" i="1"/>
  <c r="P179" i="1"/>
  <c r="N179" i="1"/>
  <c r="I179" i="1"/>
  <c r="H179" i="1"/>
  <c r="G179" i="1"/>
  <c r="F179" i="1"/>
  <c r="Q176" i="1"/>
  <c r="P176" i="1"/>
  <c r="N176" i="1"/>
  <c r="K176" i="1"/>
  <c r="I176" i="1"/>
  <c r="H176" i="1"/>
  <c r="G176" i="1"/>
  <c r="F176" i="1"/>
  <c r="E175" i="1"/>
  <c r="E181" i="1" s="1"/>
  <c r="Q174" i="1"/>
  <c r="P174" i="1"/>
  <c r="N174" i="1"/>
  <c r="K174" i="1"/>
  <c r="I174" i="1"/>
  <c r="H174" i="1"/>
  <c r="G174" i="1"/>
  <c r="F174" i="1"/>
  <c r="Q173" i="1"/>
  <c r="P173" i="1"/>
  <c r="N173" i="1"/>
  <c r="K173" i="1"/>
  <c r="J173" i="1"/>
  <c r="J181" i="1" s="1"/>
  <c r="I173" i="1"/>
  <c r="H173" i="1"/>
  <c r="G173" i="1"/>
  <c r="F173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E162" i="1"/>
  <c r="E160" i="1"/>
  <c r="O159" i="1" s="1"/>
  <c r="J158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Q151" i="1"/>
  <c r="P151" i="1"/>
  <c r="N151" i="1"/>
  <c r="I151" i="1"/>
  <c r="H151" i="1"/>
  <c r="G151" i="1"/>
  <c r="F151" i="1"/>
  <c r="E150" i="1"/>
  <c r="E153" i="1" s="1"/>
  <c r="Q149" i="1"/>
  <c r="Q153" i="1" s="1"/>
  <c r="P149" i="1"/>
  <c r="P153" i="1" s="1"/>
  <c r="O149" i="1"/>
  <c r="O153" i="1" s="1"/>
  <c r="N149" i="1"/>
  <c r="M149" i="1"/>
  <c r="L149" i="1"/>
  <c r="K149" i="1"/>
  <c r="K153" i="1" s="1"/>
  <c r="J149" i="1"/>
  <c r="I149" i="1"/>
  <c r="H149" i="1"/>
  <c r="G149" i="1"/>
  <c r="F149" i="1"/>
  <c r="M148" i="1"/>
  <c r="M153" i="1" s="1"/>
  <c r="L148" i="1"/>
  <c r="L153" i="1" s="1"/>
  <c r="J148" i="1"/>
  <c r="I148" i="1"/>
  <c r="O138" i="1"/>
  <c r="M138" i="1"/>
  <c r="L138" i="1"/>
  <c r="J138" i="1"/>
  <c r="E138" i="1"/>
  <c r="Q137" i="1"/>
  <c r="Q138" i="1" s="1"/>
  <c r="P137" i="1"/>
  <c r="P138" i="1" s="1"/>
  <c r="N137" i="1"/>
  <c r="N138" i="1" s="1"/>
  <c r="K137" i="1"/>
  <c r="K138" i="1" s="1"/>
  <c r="I137" i="1"/>
  <c r="I138" i="1" s="1"/>
  <c r="H137" i="1"/>
  <c r="H138" i="1" s="1"/>
  <c r="G137" i="1"/>
  <c r="G138" i="1" s="1"/>
  <c r="F137" i="1"/>
  <c r="F138" i="1" s="1"/>
  <c r="Q133" i="1"/>
  <c r="P133" i="1"/>
  <c r="N133" i="1"/>
  <c r="I133" i="1"/>
  <c r="H133" i="1"/>
  <c r="G133" i="1"/>
  <c r="F133" i="1"/>
  <c r="Q132" i="1"/>
  <c r="P132" i="1"/>
  <c r="N132" i="1"/>
  <c r="I132" i="1"/>
  <c r="H132" i="1"/>
  <c r="G132" i="1"/>
  <c r="F132" i="1"/>
  <c r="Q130" i="1"/>
  <c r="P130" i="1"/>
  <c r="O130" i="1"/>
  <c r="N130" i="1"/>
  <c r="M130" i="1"/>
  <c r="L130" i="1"/>
  <c r="K130" i="1"/>
  <c r="J130" i="1"/>
  <c r="J134" i="1" s="1"/>
  <c r="I130" i="1"/>
  <c r="H130" i="1"/>
  <c r="G130" i="1"/>
  <c r="F130" i="1"/>
  <c r="E129" i="1"/>
  <c r="P128" i="1" s="1"/>
  <c r="O127" i="1"/>
  <c r="M127" i="1"/>
  <c r="L127" i="1"/>
  <c r="O125" i="1"/>
  <c r="M125" i="1"/>
  <c r="L125" i="1"/>
  <c r="J125" i="1"/>
  <c r="E125" i="1"/>
  <c r="Q123" i="1"/>
  <c r="Q125" i="1" s="1"/>
  <c r="P123" i="1"/>
  <c r="P125" i="1" s="1"/>
  <c r="N123" i="1"/>
  <c r="N125" i="1" s="1"/>
  <c r="K123" i="1"/>
  <c r="K125" i="1" s="1"/>
  <c r="I123" i="1"/>
  <c r="I125" i="1" s="1"/>
  <c r="H123" i="1"/>
  <c r="H125" i="1" s="1"/>
  <c r="G123" i="1"/>
  <c r="G125" i="1" s="1"/>
  <c r="F123" i="1"/>
  <c r="F125" i="1" s="1"/>
  <c r="E121" i="1"/>
  <c r="Q120" i="1"/>
  <c r="P120" i="1"/>
  <c r="N120" i="1"/>
  <c r="I120" i="1"/>
  <c r="H120" i="1"/>
  <c r="G120" i="1"/>
  <c r="F120" i="1"/>
  <c r="Q119" i="1"/>
  <c r="P119" i="1"/>
  <c r="N119" i="1"/>
  <c r="I119" i="1"/>
  <c r="H119" i="1"/>
  <c r="G119" i="1"/>
  <c r="F119" i="1"/>
  <c r="Q116" i="1"/>
  <c r="P116" i="1"/>
  <c r="O116" i="1"/>
  <c r="N116" i="1"/>
  <c r="M116" i="1"/>
  <c r="L116" i="1"/>
  <c r="K116" i="1"/>
  <c r="I116" i="1"/>
  <c r="H116" i="1"/>
  <c r="G116" i="1"/>
  <c r="F116" i="1"/>
  <c r="Q115" i="1"/>
  <c r="P115" i="1"/>
  <c r="O115" i="1"/>
  <c r="N115" i="1"/>
  <c r="M115" i="1"/>
  <c r="L115" i="1"/>
  <c r="K115" i="1"/>
  <c r="J115" i="1"/>
  <c r="J121" i="1" s="1"/>
  <c r="I115" i="1"/>
  <c r="H115" i="1"/>
  <c r="G115" i="1"/>
  <c r="F115" i="1"/>
  <c r="O113" i="1"/>
  <c r="M113" i="1"/>
  <c r="L113" i="1"/>
  <c r="J113" i="1"/>
  <c r="E113" i="1"/>
  <c r="Q112" i="1"/>
  <c r="Q113" i="1" s="1"/>
  <c r="P112" i="1"/>
  <c r="P113" i="1" s="1"/>
  <c r="N112" i="1"/>
  <c r="N113" i="1" s="1"/>
  <c r="K112" i="1"/>
  <c r="K113" i="1" s="1"/>
  <c r="I112" i="1"/>
  <c r="I113" i="1" s="1"/>
  <c r="H112" i="1"/>
  <c r="H113" i="1" s="1"/>
  <c r="G112" i="1"/>
  <c r="G113" i="1" s="1"/>
  <c r="F112" i="1"/>
  <c r="F113" i="1" s="1"/>
  <c r="Q109" i="1"/>
  <c r="P109" i="1"/>
  <c r="N109" i="1"/>
  <c r="I109" i="1"/>
  <c r="H109" i="1"/>
  <c r="G109" i="1"/>
  <c r="F109" i="1"/>
  <c r="E107" i="1"/>
  <c r="E110" i="1" s="1"/>
  <c r="Q106" i="1"/>
  <c r="P106" i="1"/>
  <c r="O106" i="1"/>
  <c r="O110" i="1" s="1"/>
  <c r="N106" i="1"/>
  <c r="M106" i="1"/>
  <c r="M110" i="1" s="1"/>
  <c r="L106" i="1"/>
  <c r="L110" i="1" s="1"/>
  <c r="K106" i="1"/>
  <c r="K110" i="1" s="1"/>
  <c r="J106" i="1"/>
  <c r="J110" i="1" s="1"/>
  <c r="I106" i="1"/>
  <c r="H106" i="1"/>
  <c r="G106" i="1"/>
  <c r="F106" i="1"/>
  <c r="O94" i="1"/>
  <c r="M94" i="1"/>
  <c r="L94" i="1"/>
  <c r="J94" i="1"/>
  <c r="E94" i="1"/>
  <c r="Q93" i="1"/>
  <c r="Q94" i="1" s="1"/>
  <c r="P93" i="1"/>
  <c r="P94" i="1" s="1"/>
  <c r="N93" i="1"/>
  <c r="N94" i="1" s="1"/>
  <c r="K93" i="1"/>
  <c r="K94" i="1" s="1"/>
  <c r="I93" i="1"/>
  <c r="I94" i="1" s="1"/>
  <c r="H93" i="1"/>
  <c r="H94" i="1" s="1"/>
  <c r="G93" i="1"/>
  <c r="G94" i="1" s="1"/>
  <c r="F93" i="1"/>
  <c r="F94" i="1" s="1"/>
  <c r="Q88" i="1"/>
  <c r="P88" i="1"/>
  <c r="N88" i="1"/>
  <c r="I88" i="1"/>
  <c r="H88" i="1"/>
  <c r="G88" i="1"/>
  <c r="F88" i="1"/>
  <c r="Q87" i="1"/>
  <c r="P87" i="1"/>
  <c r="N87" i="1"/>
  <c r="I87" i="1"/>
  <c r="H87" i="1"/>
  <c r="G87" i="1"/>
  <c r="F87" i="1"/>
  <c r="E86" i="1"/>
  <c r="P85" i="1" s="1"/>
  <c r="E84" i="1"/>
  <c r="Q83" i="1"/>
  <c r="P83" i="1"/>
  <c r="O83" i="1"/>
  <c r="O90" i="1" s="1"/>
  <c r="N83" i="1"/>
  <c r="M83" i="1"/>
  <c r="M90" i="1" s="1"/>
  <c r="L83" i="1"/>
  <c r="L90" i="1" s="1"/>
  <c r="K83" i="1"/>
  <c r="J83" i="1"/>
  <c r="I83" i="1"/>
  <c r="H83" i="1"/>
  <c r="G83" i="1"/>
  <c r="F83" i="1"/>
  <c r="Q82" i="1"/>
  <c r="P82" i="1"/>
  <c r="N82" i="1"/>
  <c r="K82" i="1"/>
  <c r="J82" i="1"/>
  <c r="I82" i="1"/>
  <c r="H82" i="1"/>
  <c r="G82" i="1"/>
  <c r="F82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E76" i="1"/>
  <c r="Q75" i="1"/>
  <c r="P75" i="1"/>
  <c r="N75" i="1"/>
  <c r="I75" i="1"/>
  <c r="H75" i="1"/>
  <c r="G75" i="1"/>
  <c r="F75" i="1"/>
  <c r="Q74" i="1"/>
  <c r="P74" i="1"/>
  <c r="N74" i="1"/>
  <c r="I74" i="1"/>
  <c r="H74" i="1"/>
  <c r="G74" i="1"/>
  <c r="F74" i="1"/>
  <c r="Q72" i="1"/>
  <c r="P72" i="1"/>
  <c r="O72" i="1"/>
  <c r="N72" i="1"/>
  <c r="M72" i="1"/>
  <c r="L72" i="1"/>
  <c r="K72" i="1"/>
  <c r="J72" i="1"/>
  <c r="I72" i="1"/>
  <c r="H72" i="1"/>
  <c r="G72" i="1"/>
  <c r="F72" i="1"/>
  <c r="Q70" i="1"/>
  <c r="P70" i="1"/>
  <c r="O70" i="1"/>
  <c r="N70" i="1"/>
  <c r="M70" i="1"/>
  <c r="L70" i="1"/>
  <c r="K70" i="1"/>
  <c r="J70" i="1"/>
  <c r="I70" i="1"/>
  <c r="H70" i="1"/>
  <c r="G70" i="1"/>
  <c r="F70" i="1"/>
  <c r="Q69" i="1"/>
  <c r="P69" i="1"/>
  <c r="O69" i="1"/>
  <c r="O76" i="1" s="1"/>
  <c r="N69" i="1"/>
  <c r="M69" i="1"/>
  <c r="M76" i="1" s="1"/>
  <c r="L69" i="1"/>
  <c r="L76" i="1" s="1"/>
  <c r="K69" i="1"/>
  <c r="K76" i="1" s="1"/>
  <c r="J69" i="1"/>
  <c r="J76" i="1" s="1"/>
  <c r="I69" i="1"/>
  <c r="H69" i="1"/>
  <c r="G69" i="1"/>
  <c r="F69" i="1"/>
  <c r="O65" i="1"/>
  <c r="M65" i="1"/>
  <c r="L65" i="1"/>
  <c r="J65" i="1"/>
  <c r="E65" i="1"/>
  <c r="Q64" i="1"/>
  <c r="Q65" i="1" s="1"/>
  <c r="P64" i="1"/>
  <c r="P65" i="1" s="1"/>
  <c r="N64" i="1"/>
  <c r="N65" i="1" s="1"/>
  <c r="K64" i="1"/>
  <c r="K65" i="1" s="1"/>
  <c r="I64" i="1"/>
  <c r="I65" i="1" s="1"/>
  <c r="H64" i="1"/>
  <c r="H65" i="1" s="1"/>
  <c r="G64" i="1"/>
  <c r="G65" i="1" s="1"/>
  <c r="F64" i="1"/>
  <c r="F65" i="1" s="1"/>
  <c r="O62" i="1"/>
  <c r="M62" i="1"/>
  <c r="L62" i="1"/>
  <c r="J62" i="1"/>
  <c r="Q60" i="1"/>
  <c r="P60" i="1"/>
  <c r="N60" i="1"/>
  <c r="I60" i="1"/>
  <c r="H60" i="1"/>
  <c r="G60" i="1"/>
  <c r="F60" i="1"/>
  <c r="E59" i="1"/>
  <c r="E62" i="1" s="1"/>
  <c r="Q58" i="1"/>
  <c r="P58" i="1"/>
  <c r="N58" i="1"/>
  <c r="K58" i="1"/>
  <c r="K62" i="1" s="1"/>
  <c r="I58" i="1"/>
  <c r="H58" i="1"/>
  <c r="G58" i="1"/>
  <c r="F58" i="1"/>
  <c r="E48" i="1"/>
  <c r="Q47" i="1"/>
  <c r="P47" i="1"/>
  <c r="N47" i="1"/>
  <c r="Q46" i="1"/>
  <c r="P46" i="1"/>
  <c r="O46" i="1"/>
  <c r="N46" i="1"/>
  <c r="M46" i="1"/>
  <c r="L46" i="1"/>
  <c r="L48" i="1" s="1"/>
  <c r="K46" i="1"/>
  <c r="J46" i="1"/>
  <c r="J48" i="1" s="1"/>
  <c r="I46" i="1"/>
  <c r="I48" i="1" s="1"/>
  <c r="H46" i="1"/>
  <c r="H48" i="1" s="1"/>
  <c r="G46" i="1"/>
  <c r="G48" i="1" s="1"/>
  <c r="F46" i="1"/>
  <c r="F48" i="1" s="1"/>
  <c r="Q42" i="1"/>
  <c r="P42" i="1"/>
  <c r="N42" i="1"/>
  <c r="I42" i="1"/>
  <c r="H42" i="1"/>
  <c r="G42" i="1"/>
  <c r="F42" i="1"/>
  <c r="Q41" i="1"/>
  <c r="P41" i="1"/>
  <c r="N41" i="1"/>
  <c r="I41" i="1"/>
  <c r="H41" i="1"/>
  <c r="G41" i="1"/>
  <c r="F41" i="1"/>
  <c r="E39" i="1"/>
  <c r="E44" i="1" s="1"/>
  <c r="Q38" i="1"/>
  <c r="P38" i="1"/>
  <c r="O38" i="1"/>
  <c r="N38" i="1"/>
  <c r="M38" i="1"/>
  <c r="L38" i="1"/>
  <c r="K38" i="1"/>
  <c r="J38" i="1"/>
  <c r="J44" i="1" s="1"/>
  <c r="I38" i="1"/>
  <c r="H38" i="1"/>
  <c r="G38" i="1"/>
  <c r="F38" i="1"/>
  <c r="Q37" i="1"/>
  <c r="P37" i="1"/>
  <c r="O37" i="1"/>
  <c r="O44" i="1" s="1"/>
  <c r="N37" i="1"/>
  <c r="M37" i="1"/>
  <c r="L37" i="1"/>
  <c r="K37" i="1"/>
  <c r="K44" i="1" s="1"/>
  <c r="I37" i="1"/>
  <c r="H37" i="1"/>
  <c r="G37" i="1"/>
  <c r="F37" i="1"/>
  <c r="O35" i="1"/>
  <c r="M35" i="1"/>
  <c r="L35" i="1"/>
  <c r="J35" i="1"/>
  <c r="E35" i="1"/>
  <c r="Q34" i="1"/>
  <c r="P34" i="1"/>
  <c r="N34" i="1"/>
  <c r="K34" i="1"/>
  <c r="I34" i="1"/>
  <c r="H34" i="1"/>
  <c r="G34" i="1"/>
  <c r="F34" i="1"/>
  <c r="Q33" i="1"/>
  <c r="Q35" i="1" s="1"/>
  <c r="P33" i="1"/>
  <c r="P35" i="1" s="1"/>
  <c r="N33" i="1"/>
  <c r="N35" i="1" s="1"/>
  <c r="K33" i="1"/>
  <c r="K35" i="1" s="1"/>
  <c r="I33" i="1"/>
  <c r="I35" i="1" s="1"/>
  <c r="H33" i="1"/>
  <c r="G33" i="1"/>
  <c r="F33" i="1"/>
  <c r="F35" i="1" s="1"/>
  <c r="Q29" i="1"/>
  <c r="P29" i="1"/>
  <c r="N29" i="1"/>
  <c r="I29" i="1"/>
  <c r="H29" i="1"/>
  <c r="G29" i="1"/>
  <c r="F29" i="1"/>
  <c r="Q28" i="1"/>
  <c r="P28" i="1"/>
  <c r="N28" i="1"/>
  <c r="I28" i="1"/>
  <c r="H28" i="1"/>
  <c r="G28" i="1"/>
  <c r="F28" i="1"/>
  <c r="E26" i="1"/>
  <c r="Q25" i="1"/>
  <c r="P25" i="1"/>
  <c r="O25" i="1"/>
  <c r="O30" i="1" s="1"/>
  <c r="N25" i="1"/>
  <c r="M25" i="1"/>
  <c r="L25" i="1"/>
  <c r="L30" i="1" s="1"/>
  <c r="K25" i="1"/>
  <c r="J25" i="1"/>
  <c r="H25" i="1"/>
  <c r="G25" i="1"/>
  <c r="F25" i="1"/>
  <c r="E24" i="1"/>
  <c r="P23" i="1" s="1"/>
  <c r="Q22" i="1"/>
  <c r="P22" i="1"/>
  <c r="N22" i="1"/>
  <c r="M22" i="1"/>
  <c r="K22" i="1"/>
  <c r="I22" i="1"/>
  <c r="H22" i="1"/>
  <c r="G22" i="1"/>
  <c r="Q21" i="1"/>
  <c r="P21" i="1"/>
  <c r="N21" i="1"/>
  <c r="K21" i="1"/>
  <c r="J21" i="1"/>
  <c r="I21" i="1"/>
  <c r="H21" i="1"/>
  <c r="G21" i="1"/>
  <c r="F21" i="1"/>
  <c r="O19" i="1"/>
  <c r="M19" i="1"/>
  <c r="L19" i="1"/>
  <c r="J19" i="1"/>
  <c r="E19" i="1"/>
  <c r="Q18" i="1"/>
  <c r="Q19" i="1" s="1"/>
  <c r="P18" i="1"/>
  <c r="P19" i="1" s="1"/>
  <c r="N18" i="1"/>
  <c r="N19" i="1" s="1"/>
  <c r="K18" i="1"/>
  <c r="K19" i="1" s="1"/>
  <c r="I18" i="1"/>
  <c r="I19" i="1" s="1"/>
  <c r="H18" i="1"/>
  <c r="H19" i="1" s="1"/>
  <c r="G18" i="1"/>
  <c r="G19" i="1" s="1"/>
  <c r="F18" i="1"/>
  <c r="F19" i="1" s="1"/>
  <c r="O15" i="1"/>
  <c r="M15" i="1"/>
  <c r="L15" i="1"/>
  <c r="J15" i="1"/>
  <c r="Q14" i="1"/>
  <c r="Q15" i="1" s="1"/>
  <c r="P14" i="1"/>
  <c r="N14" i="1"/>
  <c r="I14" i="1"/>
  <c r="I15" i="1" s="1"/>
  <c r="H14" i="1"/>
  <c r="H15" i="1" s="1"/>
  <c r="G14" i="1"/>
  <c r="G15" i="1" s="1"/>
  <c r="F14" i="1"/>
  <c r="E11" i="1"/>
  <c r="E15" i="1" s="1"/>
  <c r="P9" i="1"/>
  <c r="N9" i="1"/>
  <c r="K9" i="1"/>
  <c r="K15" i="1" s="1"/>
  <c r="F9" i="1"/>
  <c r="K466" i="1" l="1"/>
  <c r="N466" i="1"/>
  <c r="H466" i="1"/>
  <c r="G466" i="1"/>
  <c r="Q466" i="1"/>
  <c r="I466" i="1"/>
  <c r="E466" i="1"/>
  <c r="F466" i="1"/>
  <c r="M44" i="1"/>
  <c r="H576" i="1"/>
  <c r="H584" i="1" s="1"/>
  <c r="Q616" i="1"/>
  <c r="H221" i="1"/>
  <c r="F221" i="1"/>
  <c r="Q221" i="1"/>
  <c r="N76" i="1"/>
  <c r="I576" i="1"/>
  <c r="I584" i="1" s="1"/>
  <c r="I44" i="1"/>
  <c r="F76" i="1"/>
  <c r="I62" i="1"/>
  <c r="F85" i="1"/>
  <c r="F90" i="1" s="1"/>
  <c r="G545" i="1"/>
  <c r="G551" i="1" s="1"/>
  <c r="K576" i="1"/>
  <c r="K584" i="1" s="1"/>
  <c r="M629" i="1"/>
  <c r="H44" i="1"/>
  <c r="I76" i="1"/>
  <c r="K263" i="1"/>
  <c r="K281" i="1" s="1"/>
  <c r="H275" i="1"/>
  <c r="Q275" i="1"/>
  <c r="F576" i="1"/>
  <c r="F584" i="1" s="1"/>
  <c r="Q576" i="1"/>
  <c r="Q584" i="1" s="1"/>
  <c r="L584" i="1"/>
  <c r="Q62" i="1"/>
  <c r="G110" i="1"/>
  <c r="H153" i="1"/>
  <c r="M159" i="1"/>
  <c r="M167" i="1" s="1"/>
  <c r="M187" i="1" s="1"/>
  <c r="I317" i="1"/>
  <c r="I324" i="1" s="1"/>
  <c r="M30" i="1"/>
  <c r="M50" i="1" s="1"/>
  <c r="G121" i="1"/>
  <c r="N505" i="1"/>
  <c r="I221" i="1"/>
  <c r="H223" i="1"/>
  <c r="I295" i="1"/>
  <c r="P48" i="1"/>
  <c r="F62" i="1"/>
  <c r="K221" i="1"/>
  <c r="K228" i="1" s="1"/>
  <c r="N223" i="1"/>
  <c r="K531" i="1"/>
  <c r="K537" i="1" s="1"/>
  <c r="F545" i="1"/>
  <c r="F551" i="1" s="1"/>
  <c r="I153" i="1"/>
  <c r="G221" i="1"/>
  <c r="N221" i="1"/>
  <c r="F223" i="1"/>
  <c r="G317" i="1"/>
  <c r="G324" i="1" s="1"/>
  <c r="N317" i="1"/>
  <c r="N324" i="1" s="1"/>
  <c r="F365" i="1"/>
  <c r="F370" i="1" s="1"/>
  <c r="G531" i="1"/>
  <c r="G537" i="1" s="1"/>
  <c r="I545" i="1"/>
  <c r="I551" i="1" s="1"/>
  <c r="G576" i="1"/>
  <c r="G584" i="1" s="1"/>
  <c r="P576" i="1"/>
  <c r="P584" i="1" s="1"/>
  <c r="H317" i="1"/>
  <c r="H324" i="1" s="1"/>
  <c r="P317" i="1"/>
  <c r="P324" i="1" s="1"/>
  <c r="H365" i="1"/>
  <c r="H370" i="1" s="1"/>
  <c r="K545" i="1"/>
  <c r="K551" i="1" s="1"/>
  <c r="P30" i="1"/>
  <c r="G592" i="1"/>
  <c r="G597" i="1" s="1"/>
  <c r="P249" i="1"/>
  <c r="F317" i="1"/>
  <c r="F324" i="1" s="1"/>
  <c r="K317" i="1"/>
  <c r="K324" i="1" s="1"/>
  <c r="H545" i="1"/>
  <c r="H551" i="1" s="1"/>
  <c r="H629" i="1"/>
  <c r="J90" i="1"/>
  <c r="J96" i="1" s="1"/>
  <c r="G44" i="1"/>
  <c r="O96" i="1"/>
  <c r="G128" i="1"/>
  <c r="G134" i="1" s="1"/>
  <c r="H200" i="1"/>
  <c r="P228" i="1"/>
  <c r="G223" i="1"/>
  <c r="Q223" i="1"/>
  <c r="Q365" i="1"/>
  <c r="Q370" i="1" s="1"/>
  <c r="H479" i="1"/>
  <c r="L479" i="1"/>
  <c r="J492" i="1"/>
  <c r="N531" i="1"/>
  <c r="N537" i="1" s="1"/>
  <c r="F570" i="1"/>
  <c r="J570" i="1"/>
  <c r="H592" i="1"/>
  <c r="H597" i="1" s="1"/>
  <c r="L629" i="1"/>
  <c r="L648" i="1" s="1"/>
  <c r="P629" i="1"/>
  <c r="N15" i="1"/>
  <c r="I128" i="1"/>
  <c r="I134" i="1" s="1"/>
  <c r="F207" i="1"/>
  <c r="O281" i="1"/>
  <c r="G492" i="1"/>
  <c r="O492" i="1"/>
  <c r="O511" i="1" s="1"/>
  <c r="G23" i="1"/>
  <c r="G30" i="1" s="1"/>
  <c r="N44" i="1"/>
  <c r="G76" i="1"/>
  <c r="I110" i="1"/>
  <c r="M134" i="1"/>
  <c r="K128" i="1"/>
  <c r="K134" i="1" s="1"/>
  <c r="G159" i="1"/>
  <c r="G167" i="1" s="1"/>
  <c r="H207" i="1"/>
  <c r="E228" i="1"/>
  <c r="I223" i="1"/>
  <c r="I263" i="1"/>
  <c r="Q263" i="1"/>
  <c r="L330" i="1"/>
  <c r="I356" i="1"/>
  <c r="G365" i="1"/>
  <c r="G370" i="1" s="1"/>
  <c r="I407" i="1"/>
  <c r="I413" i="1" s="1"/>
  <c r="N479" i="1"/>
  <c r="M537" i="1"/>
  <c r="M557" i="1" s="1"/>
  <c r="H531" i="1"/>
  <c r="H537" i="1" s="1"/>
  <c r="G539" i="1"/>
  <c r="G542" i="1" s="1"/>
  <c r="P570" i="1"/>
  <c r="J23" i="1"/>
  <c r="J30" i="1" s="1"/>
  <c r="J50" i="1" s="1"/>
  <c r="F44" i="1"/>
  <c r="H62" i="1"/>
  <c r="G85" i="1"/>
  <c r="G90" i="1" s="1"/>
  <c r="I121" i="1"/>
  <c r="M121" i="1"/>
  <c r="O134" i="1"/>
  <c r="N128" i="1"/>
  <c r="N134" i="1" s="1"/>
  <c r="J153" i="1"/>
  <c r="F153" i="1"/>
  <c r="H159" i="1"/>
  <c r="H167" i="1" s="1"/>
  <c r="N159" i="1"/>
  <c r="N167" i="1" s="1"/>
  <c r="N249" i="1"/>
  <c r="G275" i="1"/>
  <c r="K310" i="1"/>
  <c r="Q317" i="1"/>
  <c r="Q324" i="1" s="1"/>
  <c r="F356" i="1"/>
  <c r="Q407" i="1"/>
  <c r="Q413" i="1" s="1"/>
  <c r="E413" i="1"/>
  <c r="E419" i="1" s="1"/>
  <c r="J479" i="1"/>
  <c r="L492" i="1"/>
  <c r="P492" i="1"/>
  <c r="Q492" i="1"/>
  <c r="H539" i="1"/>
  <c r="H542" i="1" s="1"/>
  <c r="P545" i="1"/>
  <c r="P551" i="1" s="1"/>
  <c r="E551" i="1"/>
  <c r="H570" i="1"/>
  <c r="K592" i="1"/>
  <c r="K597" i="1" s="1"/>
  <c r="F636" i="1"/>
  <c r="F642" i="1" s="1"/>
  <c r="K23" i="1"/>
  <c r="K30" i="1" s="1"/>
  <c r="K50" i="1" s="1"/>
  <c r="H85" i="1"/>
  <c r="H90" i="1" s="1"/>
  <c r="H110" i="1"/>
  <c r="I159" i="1"/>
  <c r="I167" i="1" s="1"/>
  <c r="P159" i="1"/>
  <c r="P167" i="1" s="1"/>
  <c r="H181" i="1"/>
  <c r="G209" i="1"/>
  <c r="G310" i="1"/>
  <c r="K356" i="1"/>
  <c r="I365" i="1"/>
  <c r="I370" i="1" s="1"/>
  <c r="P479" i="1"/>
  <c r="G479" i="1"/>
  <c r="Q545" i="1"/>
  <c r="Q551" i="1" s="1"/>
  <c r="Q570" i="1"/>
  <c r="Q592" i="1"/>
  <c r="Q597" i="1" s="1"/>
  <c r="F15" i="1"/>
  <c r="F23" i="1"/>
  <c r="F30" i="1" s="1"/>
  <c r="Q23" i="1"/>
  <c r="Q30" i="1" s="1"/>
  <c r="E30" i="1"/>
  <c r="E50" i="1" s="1"/>
  <c r="K90" i="1"/>
  <c r="K96" i="1" s="1"/>
  <c r="E90" i="1"/>
  <c r="E96" i="1" s="1"/>
  <c r="I85" i="1"/>
  <c r="I90" i="1" s="1"/>
  <c r="F110" i="1"/>
  <c r="N110" i="1"/>
  <c r="F159" i="1"/>
  <c r="F167" i="1" s="1"/>
  <c r="L159" i="1"/>
  <c r="L167" i="1" s="1"/>
  <c r="L187" i="1" s="1"/>
  <c r="Q159" i="1"/>
  <c r="Q167" i="1" s="1"/>
  <c r="I181" i="1"/>
  <c r="P181" i="1"/>
  <c r="N181" i="1"/>
  <c r="E281" i="1"/>
  <c r="P365" i="1"/>
  <c r="P370" i="1" s="1"/>
  <c r="L401" i="1"/>
  <c r="L419" i="1" s="1"/>
  <c r="G570" i="1"/>
  <c r="O570" i="1"/>
  <c r="L44" i="1"/>
  <c r="L50" i="1" s="1"/>
  <c r="L96" i="1"/>
  <c r="M96" i="1"/>
  <c r="O161" i="1"/>
  <c r="O167" i="1" s="1"/>
  <c r="O187" i="1" s="1"/>
  <c r="J161" i="1"/>
  <c r="J167" i="1" s="1"/>
  <c r="G195" i="1"/>
  <c r="G200" i="1" s="1"/>
  <c r="F275" i="1"/>
  <c r="H505" i="1"/>
  <c r="N570" i="1"/>
  <c r="N611" i="1"/>
  <c r="N616" i="1" s="1"/>
  <c r="P611" i="1"/>
  <c r="P616" i="1" s="1"/>
  <c r="F611" i="1"/>
  <c r="F616" i="1" s="1"/>
  <c r="I611" i="1"/>
  <c r="I616" i="1" s="1"/>
  <c r="E616" i="1"/>
  <c r="Q636" i="1"/>
  <c r="Q642" i="1" s="1"/>
  <c r="I636" i="1"/>
  <c r="I642" i="1" s="1"/>
  <c r="P636" i="1"/>
  <c r="P642" i="1" s="1"/>
  <c r="H636" i="1"/>
  <c r="H642" i="1" s="1"/>
  <c r="E642" i="1"/>
  <c r="P15" i="1"/>
  <c r="O50" i="1"/>
  <c r="H23" i="1"/>
  <c r="H30" i="1" s="1"/>
  <c r="N23" i="1"/>
  <c r="N30" i="1" s="1"/>
  <c r="H35" i="1"/>
  <c r="G62" i="1"/>
  <c r="N62" i="1"/>
  <c r="H76" i="1"/>
  <c r="Q76" i="1"/>
  <c r="Q121" i="1"/>
  <c r="E167" i="1"/>
  <c r="E187" i="1" s="1"/>
  <c r="Q181" i="1"/>
  <c r="M234" i="1"/>
  <c r="O310" i="1"/>
  <c r="O330" i="1" s="1"/>
  <c r="O376" i="1"/>
  <c r="F401" i="1"/>
  <c r="K401" i="1"/>
  <c r="J401" i="1"/>
  <c r="J419" i="1" s="1"/>
  <c r="N407" i="1"/>
  <c r="N413" i="1" s="1"/>
  <c r="P407" i="1"/>
  <c r="P413" i="1" s="1"/>
  <c r="G407" i="1"/>
  <c r="G413" i="1" s="1"/>
  <c r="K407" i="1"/>
  <c r="K413" i="1" s="1"/>
  <c r="F407" i="1"/>
  <c r="F413" i="1" s="1"/>
  <c r="H492" i="1"/>
  <c r="I505" i="1"/>
  <c r="Q531" i="1"/>
  <c r="Q537" i="1" s="1"/>
  <c r="J531" i="1"/>
  <c r="J537" i="1" s="1"/>
  <c r="J557" i="1" s="1"/>
  <c r="F531" i="1"/>
  <c r="F537" i="1" s="1"/>
  <c r="P531" i="1"/>
  <c r="P537" i="1" s="1"/>
  <c r="I531" i="1"/>
  <c r="I537" i="1" s="1"/>
  <c r="O584" i="1"/>
  <c r="G611" i="1"/>
  <c r="G616" i="1" s="1"/>
  <c r="G636" i="1"/>
  <c r="N642" i="1"/>
  <c r="P44" i="1"/>
  <c r="P195" i="1"/>
  <c r="P200" i="1" s="1"/>
  <c r="N195" i="1"/>
  <c r="N200" i="1" s="1"/>
  <c r="F195" i="1"/>
  <c r="F200" i="1" s="1"/>
  <c r="I195" i="1"/>
  <c r="I200" i="1" s="1"/>
  <c r="G505" i="1"/>
  <c r="G35" i="1"/>
  <c r="Q44" i="1"/>
  <c r="Q48" i="1"/>
  <c r="F263" i="1"/>
  <c r="N275" i="1"/>
  <c r="I23" i="1"/>
  <c r="I30" i="1" s="1"/>
  <c r="P90" i="1"/>
  <c r="Q195" i="1"/>
  <c r="Q200" i="1" s="1"/>
  <c r="N209" i="1"/>
  <c r="Q209" i="1"/>
  <c r="F209" i="1"/>
  <c r="P209" i="1"/>
  <c r="P214" i="1" s="1"/>
  <c r="L234" i="1"/>
  <c r="O234" i="1"/>
  <c r="I249" i="1"/>
  <c r="P310" i="1"/>
  <c r="H413" i="1"/>
  <c r="K479" i="1"/>
  <c r="E542" i="1"/>
  <c r="N539" i="1"/>
  <c r="N542" i="1" s="1"/>
  <c r="K539" i="1"/>
  <c r="K542" i="1" s="1"/>
  <c r="M570" i="1"/>
  <c r="H611" i="1"/>
  <c r="H616" i="1" s="1"/>
  <c r="I629" i="1"/>
  <c r="K636" i="1"/>
  <c r="K642" i="1" s="1"/>
  <c r="K648" i="1" s="1"/>
  <c r="K121" i="1"/>
  <c r="O121" i="1"/>
  <c r="P121" i="1"/>
  <c r="H121" i="1"/>
  <c r="H128" i="1"/>
  <c r="H134" i="1" s="1"/>
  <c r="Q128" i="1"/>
  <c r="Q134" i="1" s="1"/>
  <c r="E134" i="1"/>
  <c r="E140" i="1" s="1"/>
  <c r="F181" i="1"/>
  <c r="K181" i="1"/>
  <c r="J281" i="1"/>
  <c r="P275" i="1"/>
  <c r="P289" i="1"/>
  <c r="P295" i="1" s="1"/>
  <c r="M376" i="1"/>
  <c r="P356" i="1"/>
  <c r="M401" i="1"/>
  <c r="M419" i="1" s="1"/>
  <c r="Q401" i="1"/>
  <c r="O401" i="1"/>
  <c r="O419" i="1" s="1"/>
  <c r="I479" i="1"/>
  <c r="Q479" i="1"/>
  <c r="I492" i="1"/>
  <c r="M492" i="1"/>
  <c r="M511" i="1" s="1"/>
  <c r="K492" i="1"/>
  <c r="L570" i="1"/>
  <c r="K570" i="1"/>
  <c r="J584" i="1"/>
  <c r="M584" i="1"/>
  <c r="E584" i="1"/>
  <c r="F629" i="1"/>
  <c r="O629" i="1"/>
  <c r="O648" i="1" s="1"/>
  <c r="N629" i="1"/>
  <c r="P110" i="1"/>
  <c r="P134" i="1"/>
  <c r="N153" i="1"/>
  <c r="K159" i="1"/>
  <c r="K167" i="1" s="1"/>
  <c r="L281" i="1"/>
  <c r="N263" i="1"/>
  <c r="I275" i="1"/>
  <c r="N310" i="1"/>
  <c r="J376" i="1"/>
  <c r="Q356" i="1"/>
  <c r="N365" i="1"/>
  <c r="N370" i="1" s="1"/>
  <c r="N401" i="1"/>
  <c r="E511" i="1"/>
  <c r="F505" i="1"/>
  <c r="L537" i="1"/>
  <c r="L557" i="1" s="1"/>
  <c r="I570" i="1"/>
  <c r="J648" i="1"/>
  <c r="Q629" i="1"/>
  <c r="M642" i="1"/>
  <c r="G635" i="1"/>
  <c r="P76" i="1"/>
  <c r="N85" i="1"/>
  <c r="N90" i="1" s="1"/>
  <c r="F121" i="1"/>
  <c r="L121" i="1"/>
  <c r="G181" i="1"/>
  <c r="J234" i="1"/>
  <c r="I207" i="1"/>
  <c r="I214" i="1" s="1"/>
  <c r="G263" i="1"/>
  <c r="P263" i="1"/>
  <c r="F289" i="1"/>
  <c r="F295" i="1" s="1"/>
  <c r="E295" i="1"/>
  <c r="E330" i="1" s="1"/>
  <c r="I310" i="1"/>
  <c r="M330" i="1"/>
  <c r="Q85" i="1"/>
  <c r="Q90" i="1" s="1"/>
  <c r="N121" i="1"/>
  <c r="L134" i="1"/>
  <c r="G153" i="1"/>
  <c r="M281" i="1"/>
  <c r="H263" i="1"/>
  <c r="Q310" i="1"/>
  <c r="G401" i="1"/>
  <c r="P62" i="1"/>
  <c r="Q110" i="1"/>
  <c r="J140" i="1"/>
  <c r="E214" i="1"/>
  <c r="Q207" i="1"/>
  <c r="G207" i="1"/>
  <c r="N207" i="1"/>
  <c r="K207" i="1"/>
  <c r="K214" i="1" s="1"/>
  <c r="J330" i="1"/>
  <c r="G356" i="1"/>
  <c r="Q289" i="1"/>
  <c r="Q295" i="1" s="1"/>
  <c r="N289" i="1"/>
  <c r="N295" i="1" s="1"/>
  <c r="H289" i="1"/>
  <c r="H295" i="1" s="1"/>
  <c r="G289" i="1"/>
  <c r="G295" i="1" s="1"/>
  <c r="E376" i="1"/>
  <c r="Q519" i="1"/>
  <c r="Q524" i="1" s="1"/>
  <c r="F519" i="1"/>
  <c r="F524" i="1" s="1"/>
  <c r="P519" i="1"/>
  <c r="P524" i="1" s="1"/>
  <c r="N519" i="1"/>
  <c r="N524" i="1" s="1"/>
  <c r="E524" i="1"/>
  <c r="I519" i="1"/>
  <c r="I524" i="1" s="1"/>
  <c r="H519" i="1"/>
  <c r="H524" i="1" s="1"/>
  <c r="G519" i="1"/>
  <c r="G524" i="1" s="1"/>
  <c r="O557" i="1"/>
  <c r="N551" i="1"/>
  <c r="H401" i="1"/>
  <c r="F479" i="1"/>
  <c r="N584" i="1"/>
  <c r="F128" i="1"/>
  <c r="F134" i="1" s="1"/>
  <c r="H209" i="1"/>
  <c r="F310" i="1"/>
  <c r="L376" i="1"/>
  <c r="N356" i="1"/>
  <c r="K370" i="1"/>
  <c r="I401" i="1"/>
  <c r="P401" i="1"/>
  <c r="P505" i="1"/>
  <c r="H310" i="1"/>
  <c r="H356" i="1"/>
  <c r="N492" i="1"/>
  <c r="Q505" i="1"/>
  <c r="I597" i="1"/>
  <c r="F492" i="1"/>
  <c r="N592" i="1"/>
  <c r="N597" i="1" s="1"/>
  <c r="E597" i="1"/>
  <c r="F539" i="1"/>
  <c r="F542" i="1" s="1"/>
  <c r="P539" i="1"/>
  <c r="P542" i="1" s="1"/>
  <c r="F592" i="1"/>
  <c r="F597" i="1" s="1"/>
  <c r="P592" i="1"/>
  <c r="P597" i="1" s="1"/>
  <c r="G621" i="1"/>
  <c r="G629" i="1" s="1"/>
  <c r="I539" i="1"/>
  <c r="I542" i="1" s="1"/>
  <c r="F228" i="1" l="1"/>
  <c r="M140" i="1"/>
  <c r="H214" i="1"/>
  <c r="Q281" i="1"/>
  <c r="F214" i="1"/>
  <c r="F234" i="1" s="1"/>
  <c r="G281" i="1"/>
  <c r="N648" i="1"/>
  <c r="Q228" i="1"/>
  <c r="H228" i="1"/>
  <c r="H234" i="1" s="1"/>
  <c r="N603" i="1"/>
  <c r="N557" i="1"/>
  <c r="N511" i="1"/>
  <c r="K234" i="1"/>
  <c r="N419" i="1"/>
  <c r="I419" i="1"/>
  <c r="P187" i="1"/>
  <c r="G140" i="1"/>
  <c r="M648" i="1"/>
  <c r="L603" i="1"/>
  <c r="N376" i="1"/>
  <c r="I96" i="1"/>
  <c r="Q96" i="1"/>
  <c r="I50" i="1"/>
  <c r="K140" i="1"/>
  <c r="K376" i="1"/>
  <c r="N187" i="1"/>
  <c r="O603" i="1"/>
  <c r="J603" i="1"/>
  <c r="H140" i="1"/>
  <c r="L511" i="1"/>
  <c r="L649" i="1" s="1"/>
  <c r="Q187" i="1"/>
  <c r="I376" i="1"/>
  <c r="J511" i="1"/>
  <c r="N281" i="1"/>
  <c r="E557" i="1"/>
  <c r="H281" i="1"/>
  <c r="G214" i="1"/>
  <c r="O140" i="1"/>
  <c r="F50" i="1"/>
  <c r="G228" i="1"/>
  <c r="N228" i="1"/>
  <c r="I228" i="1"/>
  <c r="I234" i="1" s="1"/>
  <c r="F419" i="1"/>
  <c r="G376" i="1"/>
  <c r="F96" i="1"/>
  <c r="Q214" i="1"/>
  <c r="Q511" i="1"/>
  <c r="P419" i="1"/>
  <c r="F281" i="1"/>
  <c r="G50" i="1"/>
  <c r="K330" i="1"/>
  <c r="I140" i="1"/>
  <c r="Q603" i="1"/>
  <c r="F648" i="1"/>
  <c r="L140" i="1"/>
  <c r="N140" i="1"/>
  <c r="K187" i="1"/>
  <c r="H603" i="1"/>
  <c r="J187" i="1"/>
  <c r="J331" i="1" s="1"/>
  <c r="F603" i="1"/>
  <c r="P281" i="1"/>
  <c r="I281" i="1"/>
  <c r="N96" i="1"/>
  <c r="Q50" i="1"/>
  <c r="I187" i="1"/>
  <c r="H187" i="1"/>
  <c r="F376" i="1"/>
  <c r="E603" i="1"/>
  <c r="H557" i="1"/>
  <c r="I330" i="1"/>
  <c r="K557" i="1"/>
  <c r="H648" i="1"/>
  <c r="E648" i="1"/>
  <c r="P511" i="1"/>
  <c r="K603" i="1"/>
  <c r="M331" i="1"/>
  <c r="N50" i="1"/>
  <c r="H96" i="1"/>
  <c r="G557" i="1"/>
  <c r="L331" i="1"/>
  <c r="Q376" i="1"/>
  <c r="P234" i="1"/>
  <c r="P140" i="1"/>
  <c r="I648" i="1"/>
  <c r="H50" i="1"/>
  <c r="H376" i="1"/>
  <c r="I603" i="1"/>
  <c r="E234" i="1"/>
  <c r="E331" i="1" s="1"/>
  <c r="F140" i="1"/>
  <c r="I511" i="1"/>
  <c r="Q419" i="1"/>
  <c r="G511" i="1"/>
  <c r="H511" i="1"/>
  <c r="K419" i="1"/>
  <c r="N214" i="1"/>
  <c r="F187" i="1"/>
  <c r="M603" i="1"/>
  <c r="Q648" i="1"/>
  <c r="P648" i="1"/>
  <c r="O649" i="1"/>
  <c r="P330" i="1"/>
  <c r="Q140" i="1"/>
  <c r="P376" i="1"/>
  <c r="G603" i="1"/>
  <c r="P557" i="1"/>
  <c r="N330" i="1"/>
  <c r="P96" i="1"/>
  <c r="K511" i="1"/>
  <c r="Q557" i="1"/>
  <c r="H330" i="1"/>
  <c r="G419" i="1"/>
  <c r="G642" i="1"/>
  <c r="G648" i="1" s="1"/>
  <c r="P50" i="1"/>
  <c r="F511" i="1"/>
  <c r="H419" i="1"/>
  <c r="G96" i="1"/>
  <c r="O331" i="1"/>
  <c r="P603" i="1"/>
  <c r="G330" i="1"/>
  <c r="F330" i="1"/>
  <c r="I557" i="1"/>
  <c r="Q330" i="1"/>
  <c r="G187" i="1"/>
  <c r="F557" i="1"/>
  <c r="Q234" i="1" l="1"/>
  <c r="M649" i="1"/>
  <c r="M650" i="1" s="1"/>
  <c r="M651" i="1" s="1"/>
  <c r="G234" i="1"/>
  <c r="G331" i="1" s="1"/>
  <c r="J649" i="1"/>
  <c r="J650" i="1" s="1"/>
  <c r="J651" i="1" s="1"/>
  <c r="N234" i="1"/>
  <c r="N331" i="1" s="1"/>
  <c r="E649" i="1"/>
  <c r="E650" i="1" s="1"/>
  <c r="E651" i="1" s="1"/>
  <c r="H649" i="1"/>
  <c r="K331" i="1"/>
  <c r="I331" i="1"/>
  <c r="I649" i="1"/>
  <c r="Q331" i="1"/>
  <c r="G649" i="1"/>
  <c r="O650" i="1"/>
  <c r="O651" i="1" s="1"/>
  <c r="L650" i="1"/>
  <c r="L651" i="1" s="1"/>
  <c r="H331" i="1"/>
  <c r="F331" i="1"/>
  <c r="P331" i="1"/>
  <c r="N649" i="1"/>
  <c r="K649" i="1"/>
  <c r="P649" i="1"/>
  <c r="Q649" i="1"/>
  <c r="K650" i="1" l="1"/>
  <c r="K651" i="1" s="1"/>
  <c r="I650" i="1"/>
  <c r="I651" i="1" s="1"/>
  <c r="H650" i="1"/>
  <c r="H651" i="1" s="1"/>
  <c r="N650" i="1"/>
  <c r="N651" i="1" s="1"/>
  <c r="Q650" i="1"/>
  <c r="Q651" i="1" s="1"/>
  <c r="G650" i="1"/>
  <c r="G651" i="1" s="1"/>
  <c r="F651" i="1"/>
  <c r="P650" i="1"/>
  <c r="P651" i="1" s="1"/>
</calcChain>
</file>

<file path=xl/comments1.xml><?xml version="1.0" encoding="utf-8"?>
<comments xmlns="http://schemas.openxmlformats.org/spreadsheetml/2006/main">
  <authors>
    <author/>
  </authors>
  <commentList>
    <comment ref="A83" authorId="0" shapeId="0">
      <text>
        <r>
          <rPr>
            <sz val="11"/>
            <color theme="1"/>
            <rFont val="Calibri"/>
            <scheme val="minor"/>
          </rPr>
          <t>======
ID#AAAA2h7D7f0
Марина Кириллова    (2023-07-29 10:13:41)
нужно добавить номер карты соуса?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veHQqMKAJNAzcKJ9rTMX2hVtc1Q=="/>
    </ext>
  </extLst>
</comments>
</file>

<file path=xl/comments2.xml><?xml version="1.0" encoding="utf-8"?>
<comments xmlns="http://schemas.openxmlformats.org/spreadsheetml/2006/main">
  <authors>
    <author/>
  </authors>
  <commentList>
    <comment ref="A396" authorId="0" shapeId="0">
      <text>
        <r>
          <rPr>
            <sz val="11"/>
            <color theme="1"/>
            <rFont val="Calibri"/>
            <scheme val="minor"/>
          </rPr>
          <t>======
ID#AAAA2h7D7f0
Марина Кириллова    (2023-07-29 10:13:41)
нужно добавить номер карты соуса?</t>
        </r>
      </text>
    </comment>
  </commentList>
</comments>
</file>

<file path=xl/sharedStrings.xml><?xml version="1.0" encoding="utf-8"?>
<sst xmlns="http://schemas.openxmlformats.org/spreadsheetml/2006/main" count="1874" uniqueCount="243">
  <si>
    <t>ПРИМЕРНОЕ МЕНЮ И ПИЩЕВАЯ ЦЕННОСТЬ</t>
  </si>
  <si>
    <t>ПРИГОТАВЛИВАЕМЫХ БЛЮД(2-х недельное)</t>
  </si>
  <si>
    <t>Меню на 1 неделю понедельник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</si>
  <si>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</si>
  <si>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</si>
  <si>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</si>
  <si>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</si>
  <si>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</si>
  <si>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</si>
  <si>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</si>
  <si>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</si>
  <si>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</si>
  <si>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</si>
  <si>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</si>
  <si>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</si>
  <si>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</si>
  <si>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</si>
  <si>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</si>
  <si>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</si>
  <si>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</si>
  <si>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</si>
  <si>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</si>
  <si>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Бутерброд с сыром российский со сливочным маслом</t>
  </si>
  <si>
    <t>5/15/30</t>
  </si>
  <si>
    <t>Каша жидкая молочная из крупы манной с маслом сливочным</t>
  </si>
  <si>
    <t>Яйца отварное</t>
  </si>
  <si>
    <t>Кофейный напиток с молоком</t>
  </si>
  <si>
    <t>ПР</t>
  </si>
  <si>
    <t>Хлеб ржаной</t>
  </si>
  <si>
    <t>Всего в Завтрак</t>
  </si>
  <si>
    <t>2-й  Завтрак</t>
  </si>
  <si>
    <t>Фрукты свежие</t>
  </si>
  <si>
    <t>Всего в 2-й завтрак</t>
  </si>
  <si>
    <t xml:space="preserve">Обед </t>
  </si>
  <si>
    <t>Щи с капустой, картофелем</t>
  </si>
  <si>
    <t>-</t>
  </si>
  <si>
    <t>Бефстроганов из отварной говядины</t>
  </si>
  <si>
    <t>Макаронные изделия отварные с маслом</t>
  </si>
  <si>
    <t>Компот из смеси сухофруктов</t>
  </si>
  <si>
    <t>Хлеб пшеничный 1 сорт</t>
  </si>
  <si>
    <t xml:space="preserve">Всего в обед </t>
  </si>
  <si>
    <t>Полдник</t>
  </si>
  <si>
    <t>Молоко кипяченое 2,5% жирности</t>
  </si>
  <si>
    <t>Всего в Полдник</t>
  </si>
  <si>
    <t>Ужин</t>
  </si>
  <si>
    <t>Салат из свеклы отвар с огурцом сол</t>
  </si>
  <si>
    <t>Каша рассыпчатая пшеничная с маслом</t>
  </si>
  <si>
    <t xml:space="preserve">Сок в ассортименти  </t>
  </si>
  <si>
    <t xml:space="preserve">Всего в Ужин </t>
  </si>
  <si>
    <t>2-й  Ужин</t>
  </si>
  <si>
    <t>Ряженка 2,5% жирности</t>
  </si>
  <si>
    <t>Кондитерское изделие (печенье)</t>
  </si>
  <si>
    <t xml:space="preserve">Всего в 2-й Ужин </t>
  </si>
  <si>
    <t>Соль на день</t>
  </si>
  <si>
    <t>Всего в 1 неделю понедельник</t>
  </si>
  <si>
    <t>Меню на 1 неделю вторник</t>
  </si>
  <si>
    <t>Бутерброд с сыром российский</t>
  </si>
  <si>
    <t>Каша жидкая молочная из гречневой крупы</t>
  </si>
  <si>
    <t xml:space="preserve">Какао с молоком  </t>
  </si>
  <si>
    <t>Фрукты свежие( Бананы)</t>
  </si>
  <si>
    <t>Овощи свежие нарезка (помидор)</t>
  </si>
  <si>
    <t>Овощи свежие нарезка (огурец)</t>
  </si>
  <si>
    <t>Суп картофельный с клецками</t>
  </si>
  <si>
    <t>Гуляш из говядины</t>
  </si>
  <si>
    <t>Пюре картофельное</t>
  </si>
  <si>
    <t>Всего в обед</t>
  </si>
  <si>
    <t>Крендель с сахаром</t>
  </si>
  <si>
    <t>Всего в полдник</t>
  </si>
  <si>
    <t>290/330</t>
  </si>
  <si>
    <t>Птица тушенная в соусе</t>
  </si>
  <si>
    <t>Каша рассыпчатая ячневая</t>
  </si>
  <si>
    <t xml:space="preserve">Сок в ассортименте </t>
  </si>
  <si>
    <t>Всего в Ужин</t>
  </si>
  <si>
    <t>2 -й Ужин</t>
  </si>
  <si>
    <t>Йогурт фруктовый -ягодный 2,5 % жирности</t>
  </si>
  <si>
    <t>Всего в 1 неделю вторник</t>
  </si>
  <si>
    <t>Меню на 1 неделю среда</t>
  </si>
  <si>
    <t>Бутерброд с сыром и маслом</t>
  </si>
  <si>
    <t>Кукуруза консервир. (порционая)</t>
  </si>
  <si>
    <t xml:space="preserve">Омлет натуральный с маслом </t>
  </si>
  <si>
    <t>Салат из свеклы отварной</t>
  </si>
  <si>
    <t>Суп картофельный с бобовыми</t>
  </si>
  <si>
    <t>Плов из птицы</t>
  </si>
  <si>
    <t>150/150</t>
  </si>
  <si>
    <t>406/467</t>
  </si>
  <si>
    <t>Пирожки сдоб печеные из др/теста(картофельная начинка)</t>
  </si>
  <si>
    <t>Всего  в полдник</t>
  </si>
  <si>
    <t xml:space="preserve">  Ужин</t>
  </si>
  <si>
    <t>Капуста тушеная (белокочаной)</t>
  </si>
  <si>
    <t>268/824</t>
  </si>
  <si>
    <t>Шницель из говядины с соусом красным</t>
  </si>
  <si>
    <t>Картофель отварной</t>
  </si>
  <si>
    <t>Сок в ассортименте</t>
  </si>
  <si>
    <t>Кефир 2,5 % жирности</t>
  </si>
  <si>
    <t>Всего в 1 неделю среда</t>
  </si>
  <si>
    <t>Меню на 1 неделю четверг</t>
  </si>
  <si>
    <t>Икра кабачковая</t>
  </si>
  <si>
    <t>Макароны отварные с сыром</t>
  </si>
  <si>
    <t>Икра морковная</t>
  </si>
  <si>
    <t>Суп картофельный с мясными фрикадельками</t>
  </si>
  <si>
    <t>Рыба,тушенная в томате с овощами(минтай)</t>
  </si>
  <si>
    <t>Пирожки сдоб печеные из др/теста</t>
  </si>
  <si>
    <t>Кофейный нап с молоком</t>
  </si>
  <si>
    <t>Овощи  свежие нарезка (огурец)</t>
  </si>
  <si>
    <t xml:space="preserve">Бефстроганов  </t>
  </si>
  <si>
    <t>Кондитерское изделие (вафли)</t>
  </si>
  <si>
    <t>Всего в 1 неделю четверг</t>
  </si>
  <si>
    <t>Меню на 1 неделю пятница</t>
  </si>
  <si>
    <t>Бутерброд с повидлом или джемом</t>
  </si>
  <si>
    <t>10/30/50</t>
  </si>
  <si>
    <t>Каша вязкая молочная из крупы кукурузной (с маслом и сахаром)</t>
  </si>
  <si>
    <t>Чай с молоком</t>
  </si>
  <si>
    <t>Всего в 2-й завтак</t>
  </si>
  <si>
    <t>Овощи свежие нарезка(огурец)</t>
  </si>
  <si>
    <t>Суп картофельный с крупой рисовой</t>
  </si>
  <si>
    <t>Каша рассыпчатая перловая с маслом</t>
  </si>
  <si>
    <t>Компот из сухофруктов</t>
  </si>
  <si>
    <t>Овощи свежие нарезные(помидор)</t>
  </si>
  <si>
    <t>Котлеты рубленные из птицы</t>
  </si>
  <si>
    <t>Каша рассыпчатая гречневая (с маслом сливочным)</t>
  </si>
  <si>
    <t>Ряженка 2,5 % жирности</t>
  </si>
  <si>
    <t>1,052,25</t>
  </si>
  <si>
    <t>Всего в 1 неделю пятница</t>
  </si>
  <si>
    <t>Меню на 1 неделю суббота</t>
  </si>
  <si>
    <t>Бутерброд с маслом сливочным</t>
  </si>
  <si>
    <t>Суп картофельный с макаронными изделиями</t>
  </si>
  <si>
    <t>Каша рассыпчатая гречневая с маслом</t>
  </si>
  <si>
    <t>Мясо отварное</t>
  </si>
  <si>
    <t>Соус сметанный с томатом</t>
  </si>
  <si>
    <t xml:space="preserve"> Полдник</t>
  </si>
  <si>
    <t>Кондитерское изделие (пченье)</t>
  </si>
  <si>
    <t>Жаркое по-домашнему из говядины</t>
  </si>
  <si>
    <t>Сок в ассортименти</t>
  </si>
  <si>
    <t>Пр</t>
  </si>
  <si>
    <t>Всего в 1 неделю суббота</t>
  </si>
  <si>
    <t>Меню на 1 неделю воскресенье</t>
  </si>
  <si>
    <t xml:space="preserve">Каша вязкая молочная из  крупы «Геркулес» </t>
  </si>
  <si>
    <t>Чай с лимоном,и сахаром</t>
  </si>
  <si>
    <t>200/15/7</t>
  </si>
  <si>
    <t>,</t>
  </si>
  <si>
    <t>Овощи свежие нарезное (помидор)</t>
  </si>
  <si>
    <t>Рассольник ленинградский со сметаной</t>
  </si>
  <si>
    <t xml:space="preserve">Биточки из говядины </t>
  </si>
  <si>
    <t>Соус сметаный с томатом</t>
  </si>
  <si>
    <t>Каша рассыпчатая пшеничная с маслом сливочным</t>
  </si>
  <si>
    <t xml:space="preserve"> Ужин</t>
  </si>
  <si>
    <t>234/824</t>
  </si>
  <si>
    <t xml:space="preserve">Котлеты  или биточки рыбные с соусом </t>
  </si>
  <si>
    <t>Картофель отварной с маслом сливочным</t>
  </si>
  <si>
    <t>2-й Ужин</t>
  </si>
  <si>
    <t>Иогурт 2,5% жирности</t>
  </si>
  <si>
    <t>Всего в 1 неделю воскресенье</t>
  </si>
  <si>
    <t>Итого за 1-ю неделю</t>
  </si>
  <si>
    <t>Меню на 2 неделю понедельник</t>
  </si>
  <si>
    <t>Бутерброт с маслом и сыром</t>
  </si>
  <si>
    <t>50/10/12</t>
  </si>
  <si>
    <t xml:space="preserve">Каша жидкая молочная с крупой (рис),с маслом сливочным  </t>
  </si>
  <si>
    <t>Чай с молокоми сахаром</t>
  </si>
  <si>
    <t>150/50/15</t>
  </si>
  <si>
    <t>Овощи свежие нарезное( помидор)</t>
  </si>
  <si>
    <t>180,17,</t>
  </si>
  <si>
    <t xml:space="preserve">Макаронные изделия отварные </t>
  </si>
  <si>
    <t>Каша рассыпчатая из риса с маслом сливочным</t>
  </si>
  <si>
    <t>Всего в 2 неделю понедельник</t>
  </si>
  <si>
    <t>Меню на 2 неделю вторник</t>
  </si>
  <si>
    <t>Запеканка из творога с сгущ.молоком</t>
  </si>
  <si>
    <t>Овощи свежие нарезные(огурец)</t>
  </si>
  <si>
    <t>Капуста  тушеная (белокачанная)</t>
  </si>
  <si>
    <t xml:space="preserve">Сок в ассортименти </t>
  </si>
  <si>
    <t xml:space="preserve">Всего в  2-й Ужин </t>
  </si>
  <si>
    <t>Всего в 2 неделю вторник</t>
  </si>
  <si>
    <t>Меню на 2 неделю среда</t>
  </si>
  <si>
    <t>Бутерброд с сыром и сливочным маслом</t>
  </si>
  <si>
    <t>Каша жидкая молочная из крупы манной с маслом</t>
  </si>
  <si>
    <t>Овощи  свежие нарезные(помидор)</t>
  </si>
  <si>
    <t>Каша рассыпчатая пшеничная</t>
  </si>
  <si>
    <t>Зеленый горошек(порционы)</t>
  </si>
  <si>
    <t xml:space="preserve">Котлета из говядины,соус красный основной </t>
  </si>
  <si>
    <t>Каша рассыпчатая гречневая</t>
  </si>
  <si>
    <t>Всего в 2 неделю среда</t>
  </si>
  <si>
    <t>Меню на 2 неделю четверг</t>
  </si>
  <si>
    <t>50/10/15</t>
  </si>
  <si>
    <t>Кукуруза консер.(порционо)</t>
  </si>
  <si>
    <t>Овощи свежие,нарезные(огурец)</t>
  </si>
  <si>
    <t>Борщ из капусты с картофелем</t>
  </si>
  <si>
    <t>Рыба жареная</t>
  </si>
  <si>
    <t>Икра свекольная</t>
  </si>
  <si>
    <t xml:space="preserve">Мясо говядины тушеное  </t>
  </si>
  <si>
    <t xml:space="preserve">Сок фруктовый </t>
  </si>
  <si>
    <t>Всего в 2 неделю четверг</t>
  </si>
  <si>
    <t>Меню на 2 неделю пятница</t>
  </si>
  <si>
    <t>Яйца вареные</t>
  </si>
  <si>
    <t>Овощи свежие,нарезные(помидор)</t>
  </si>
  <si>
    <t>Котлеты из мяса птицы.соус красный основной</t>
  </si>
  <si>
    <t>Пудинг из творога (запеченный)</t>
  </si>
  <si>
    <t>Шоколад молочный «Аленка»</t>
  </si>
  <si>
    <t>1/20</t>
  </si>
  <si>
    <t>Всего в 2-й Ужин</t>
  </si>
  <si>
    <t>Всего в 2 неделю пятница</t>
  </si>
  <si>
    <t>Меню на 2 неделю суббота</t>
  </si>
  <si>
    <t>Бутерброд с маслом</t>
  </si>
  <si>
    <t>55/10</t>
  </si>
  <si>
    <t>1 шт</t>
  </si>
  <si>
    <t>Овощи  свежие,нарезные(помидор)</t>
  </si>
  <si>
    <t>Кондитерское изделие (Пряник)</t>
  </si>
  <si>
    <t>Всего в 2 неделю суббота</t>
  </si>
  <si>
    <t>Меню на 2 неделю воскресенье</t>
  </si>
  <si>
    <t xml:space="preserve">Каша жидкая молочная с крупой (рис)  </t>
  </si>
  <si>
    <t>Плов из говядины</t>
  </si>
  <si>
    <t xml:space="preserve">  2-й Ужин</t>
  </si>
  <si>
    <t>Кондитерское изделие (Вафли)</t>
  </si>
  <si>
    <t>Всего в  2-й Ужин</t>
  </si>
  <si>
    <t>Всего в 2 неделю воскресенье</t>
  </si>
  <si>
    <t xml:space="preserve">Итого за 2-ю неделю </t>
  </si>
  <si>
    <t>Итого за 2 недели</t>
  </si>
  <si>
    <t>Среднее за период</t>
  </si>
  <si>
    <t xml:space="preserve">Сборник рецептур на продукцию для обучающихся во всех образовательных учреждениях, под редакцией М.П.Могильного, Москва: Дели Принт, 2005 г. </t>
  </si>
  <si>
    <t>Овощи соленые,нарезные (огурец)</t>
  </si>
  <si>
    <t xml:space="preserve">Ватрушки </t>
  </si>
  <si>
    <t>Мясо говядины тушенное</t>
  </si>
  <si>
    <t xml:space="preserve">Итого за 1-ю неделю </t>
  </si>
  <si>
    <t>Печенье (кондитерское изделие)</t>
  </si>
  <si>
    <t>Вафли (кондитерское изделие)</t>
  </si>
  <si>
    <t>Салат витаминный</t>
  </si>
  <si>
    <t>Каша гречневая жидкая молочная с маслом сливочным</t>
  </si>
  <si>
    <t>Сельдь с луком</t>
  </si>
  <si>
    <t>Запеканка из творога со сгущ.молоком</t>
  </si>
  <si>
    <t>Винегрет овощной</t>
  </si>
  <si>
    <t>Котлеты из мяса птицы, соус красный основной</t>
  </si>
  <si>
    <t>Огурцы консервированные</t>
  </si>
  <si>
    <t>Салат картофельный с капустой свежей</t>
  </si>
  <si>
    <t>Борщ со сметаной</t>
  </si>
  <si>
    <t>Всего во 2 неделю вторник</t>
  </si>
  <si>
    <t>Салат из свеклы отвар с огурцом консервированным</t>
  </si>
  <si>
    <t xml:space="preserve">Каша гречневая жидкая молочная </t>
  </si>
  <si>
    <t>Всего во 2 неделю среда</t>
  </si>
  <si>
    <t>Всего во 2 неделю четверг</t>
  </si>
  <si>
    <t>Всего во 2 неделю понедельник</t>
  </si>
  <si>
    <t>Всего во 2 неделю суббота</t>
  </si>
  <si>
    <t>Всего во 2 неделю воскресенье</t>
  </si>
  <si>
    <t>Итого за 2-ю неделю</t>
  </si>
  <si>
    <t>Всего во 2 неделю пятница</t>
  </si>
  <si>
    <t xml:space="preserve">Сборник рецептур на продукцию для обучающихся во всех образовательных учреждениях, под редакцией: В. А. Тутельян, М. П. Могильный, Москва: Дели Принт 2011г.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</si>
</sst>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9" x14ac:knownFonts="1">
    <font>
      <sz val="11"/>
      <color theme="1"/>
      <name val="Calibri"/>
      <scheme val="minor"/>
    </font>
    <font>
      <sz val="11"/>
      <color rgb="FF000000"/>
      <name val="Times New Roman"/>
    </font>
    <font>
      <sz val="11"/>
      <color theme="1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11"/>
      <color rgb="FF000000"/>
      <name val="Times New Roman"/>
    </font>
    <font>
      <b/>
      <sz val="12"/>
      <color theme="1"/>
      <name val="Times New Roman"/>
    </font>
    <font>
      <sz val="11"/>
      <color rgb="FFFF0000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11"/>
      <color rgb="FFFF0000"/>
      <name val="Times New Roman"/>
    </font>
    <font>
      <sz val="12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i/>
      <sz val="11"/>
      <name val="Calibri"/>
      <family val="2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8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rgb="FF969696"/>
      </patternFill>
    </fill>
  </fills>
  <borders count="8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333333"/>
      </bottom>
      <diagonal/>
    </border>
    <border>
      <left/>
      <right/>
      <top style="thin">
        <color rgb="FF000000"/>
      </top>
      <bottom style="double">
        <color rgb="FF333333"/>
      </bottom>
      <diagonal/>
    </border>
    <border>
      <left/>
      <right style="thin">
        <color rgb="FF000000"/>
      </right>
      <top style="thin">
        <color rgb="FF000000"/>
      </top>
      <bottom style="double">
        <color rgb="FF333333"/>
      </bottom>
      <diagonal/>
    </border>
    <border>
      <left style="double">
        <color rgb="FF333333"/>
      </left>
      <right/>
      <top style="double">
        <color rgb="FF333333"/>
      </top>
      <bottom style="double">
        <color rgb="FF333333"/>
      </bottom>
      <diagonal/>
    </border>
    <border>
      <left/>
      <right/>
      <top style="double">
        <color rgb="FF333333"/>
      </top>
      <bottom style="double">
        <color rgb="FF333333"/>
      </bottom>
      <diagonal/>
    </border>
    <border>
      <left/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4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1" fillId="3" borderId="15" xfId="0" applyFont="1" applyFill="1" applyBorder="1"/>
    <xf numFmtId="0" fontId="1" fillId="3" borderId="15" xfId="0" applyFont="1" applyFill="1" applyBorder="1" applyAlignment="1">
      <alignment vertical="center"/>
    </xf>
    <xf numFmtId="0" fontId="9" fillId="3" borderId="15" xfId="0" applyFont="1" applyFill="1" applyBorder="1"/>
    <xf numFmtId="0" fontId="3" fillId="3" borderId="13" xfId="0" applyFont="1" applyFill="1" applyBorder="1" applyAlignment="1">
      <alignment horizontal="center" vertical="center"/>
    </xf>
    <xf numFmtId="0" fontId="2" fillId="3" borderId="0" xfId="0" applyFont="1" applyFill="1"/>
    <xf numFmtId="4" fontId="4" fillId="3" borderId="13" xfId="0" applyNumberFormat="1" applyFont="1" applyFill="1" applyBorder="1" applyAlignment="1">
      <alignment horizontal="center"/>
    </xf>
    <xf numFmtId="4" fontId="1" fillId="3" borderId="15" xfId="0" applyNumberFormat="1" applyFont="1" applyFill="1" applyBorder="1"/>
    <xf numFmtId="0" fontId="2" fillId="3" borderId="15" xfId="0" applyFont="1" applyFill="1" applyBorder="1"/>
    <xf numFmtId="0" fontId="12" fillId="3" borderId="0" xfId="0" applyFont="1" applyFill="1"/>
    <xf numFmtId="0" fontId="4" fillId="3" borderId="13" xfId="0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3" fillId="4" borderId="15" xfId="0" applyFont="1" applyFill="1" applyBorder="1"/>
    <xf numFmtId="0" fontId="1" fillId="3" borderId="0" xfId="0" applyFont="1" applyFill="1"/>
    <xf numFmtId="4" fontId="4" fillId="3" borderId="22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1" fontId="1" fillId="0" borderId="0" xfId="0" applyNumberFormat="1" applyFont="1"/>
    <xf numFmtId="0" fontId="3" fillId="0" borderId="13" xfId="0" applyFont="1" applyBorder="1" applyAlignment="1">
      <alignment horizontal="center"/>
    </xf>
    <xf numFmtId="0" fontId="1" fillId="3" borderId="0" xfId="0" applyFont="1" applyFill="1" applyAlignment="1">
      <alignment vertical="center"/>
    </xf>
    <xf numFmtId="0" fontId="3" fillId="3" borderId="24" xfId="0" applyFont="1" applyFill="1" applyBorder="1" applyAlignment="1">
      <alignment horizontal="center"/>
    </xf>
    <xf numFmtId="0" fontId="3" fillId="3" borderId="13" xfId="0" applyFont="1" applyFill="1" applyBorder="1"/>
    <xf numFmtId="164" fontId="4" fillId="3" borderId="13" xfId="0" applyNumberFormat="1" applyFont="1" applyFill="1" applyBorder="1" applyAlignment="1">
      <alignment horizontal="center"/>
    </xf>
    <xf numFmtId="0" fontId="3" fillId="0" borderId="0" xfId="0" applyFont="1"/>
    <xf numFmtId="0" fontId="3" fillId="3" borderId="15" xfId="0" applyFont="1" applyFill="1" applyBorder="1" applyAlignment="1">
      <alignment horizontal="center"/>
    </xf>
    <xf numFmtId="0" fontId="1" fillId="0" borderId="16" xfId="0" applyFont="1" applyBorder="1"/>
    <xf numFmtId="0" fontId="6" fillId="3" borderId="1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4" fontId="2" fillId="3" borderId="15" xfId="0" applyNumberFormat="1" applyFont="1" applyFill="1" applyBorder="1"/>
    <xf numFmtId="0" fontId="1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/>
    </xf>
    <xf numFmtId="0" fontId="4" fillId="3" borderId="15" xfId="0" applyFont="1" applyFill="1" applyBorder="1"/>
    <xf numFmtId="0" fontId="4" fillId="3" borderId="0" xfId="0" applyFont="1" applyFill="1"/>
    <xf numFmtId="0" fontId="4" fillId="3" borderId="1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1" fillId="3" borderId="0" xfId="0" applyFont="1" applyFill="1"/>
    <xf numFmtId="0" fontId="4" fillId="3" borderId="2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3" borderId="0" xfId="0" applyFont="1" applyFill="1" applyAlignment="1">
      <alignment vertical="top"/>
    </xf>
    <xf numFmtId="0" fontId="3" fillId="3" borderId="1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/>
    </xf>
    <xf numFmtId="4" fontId="4" fillId="3" borderId="33" xfId="0" applyNumberFormat="1" applyFont="1" applyFill="1" applyBorder="1" applyAlignment="1">
      <alignment horizontal="center"/>
    </xf>
    <xf numFmtId="4" fontId="4" fillId="3" borderId="20" xfId="0" applyNumberFormat="1" applyFont="1" applyFill="1" applyBorder="1" applyAlignment="1">
      <alignment horizontal="center"/>
    </xf>
    <xf numFmtId="4" fontId="4" fillId="3" borderId="23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5" fillId="0" borderId="59" xfId="0" applyFont="1" applyBorder="1"/>
    <xf numFmtId="3" fontId="17" fillId="3" borderId="18" xfId="0" applyNumberFormat="1" applyFont="1" applyFill="1" applyBorder="1" applyAlignment="1">
      <alignment horizontal="center"/>
    </xf>
    <xf numFmtId="1" fontId="18" fillId="3" borderId="13" xfId="0" applyNumberFormat="1" applyFont="1" applyFill="1" applyBorder="1" applyAlignment="1">
      <alignment horizontal="center"/>
    </xf>
    <xf numFmtId="1" fontId="18" fillId="3" borderId="20" xfId="0" applyNumberFormat="1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 vertical="center"/>
    </xf>
    <xf numFmtId="3" fontId="18" fillId="3" borderId="13" xfId="0" applyNumberFormat="1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vertical="center"/>
    </xf>
    <xf numFmtId="3" fontId="18" fillId="3" borderId="18" xfId="0" applyNumberFormat="1" applyFont="1" applyFill="1" applyBorder="1" applyAlignment="1">
      <alignment horizontal="center"/>
    </xf>
    <xf numFmtId="1" fontId="21" fillId="3" borderId="24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>
      <alignment horizontal="center" vertical="center"/>
    </xf>
    <xf numFmtId="3" fontId="22" fillId="3" borderId="17" xfId="0" applyNumberFormat="1" applyFont="1" applyFill="1" applyBorder="1" applyAlignment="1">
      <alignment horizontal="center"/>
    </xf>
    <xf numFmtId="3" fontId="22" fillId="3" borderId="22" xfId="0" applyNumberFormat="1" applyFont="1" applyFill="1" applyBorder="1" applyAlignment="1">
      <alignment horizontal="center"/>
    </xf>
    <xf numFmtId="3" fontId="21" fillId="3" borderId="24" xfId="0" applyNumberFormat="1" applyFont="1" applyFill="1" applyBorder="1" applyAlignment="1">
      <alignment horizontal="center" vertical="center"/>
    </xf>
    <xf numFmtId="1" fontId="22" fillId="3" borderId="13" xfId="0" applyNumberFormat="1" applyFont="1" applyFill="1" applyBorder="1" applyAlignment="1">
      <alignment horizontal="center"/>
    </xf>
    <xf numFmtId="3" fontId="22" fillId="3" borderId="13" xfId="0" applyNumberFormat="1" applyFont="1" applyFill="1" applyBorder="1" applyAlignment="1">
      <alignment horizontal="center"/>
    </xf>
    <xf numFmtId="3" fontId="22" fillId="3" borderId="20" xfId="0" applyNumberFormat="1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 vertical="center"/>
    </xf>
    <xf numFmtId="3" fontId="22" fillId="3" borderId="18" xfId="0" applyNumberFormat="1" applyFont="1" applyFill="1" applyBorder="1" applyAlignment="1">
      <alignment horizontal="center"/>
    </xf>
    <xf numFmtId="4" fontId="4" fillId="3" borderId="62" xfId="0" applyNumberFormat="1" applyFont="1" applyFill="1" applyBorder="1" applyAlignment="1">
      <alignment horizontal="center"/>
    </xf>
    <xf numFmtId="0" fontId="3" fillId="3" borderId="62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1" fontId="22" fillId="3" borderId="20" xfId="0" applyNumberFormat="1" applyFont="1" applyFill="1" applyBorder="1" applyAlignment="1">
      <alignment horizontal="center"/>
    </xf>
    <xf numFmtId="4" fontId="22" fillId="3" borderId="20" xfId="0" applyNumberFormat="1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4" fontId="18" fillId="3" borderId="20" xfId="0" applyNumberFormat="1" applyFont="1" applyFill="1" applyBorder="1" applyAlignment="1">
      <alignment horizontal="center"/>
    </xf>
    <xf numFmtId="1" fontId="18" fillId="3" borderId="62" xfId="0" applyNumberFormat="1" applyFont="1" applyFill="1" applyBorder="1" applyAlignment="1">
      <alignment horizontal="center"/>
    </xf>
    <xf numFmtId="4" fontId="18" fillId="3" borderId="62" xfId="0" applyNumberFormat="1" applyFont="1" applyFill="1" applyBorder="1" applyAlignment="1">
      <alignment horizontal="center"/>
    </xf>
    <xf numFmtId="164" fontId="18" fillId="3" borderId="62" xfId="0" applyNumberFormat="1" applyFont="1" applyFill="1" applyBorder="1" applyAlignment="1">
      <alignment horizontal="center"/>
    </xf>
    <xf numFmtId="4" fontId="20" fillId="3" borderId="62" xfId="0" applyNumberFormat="1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4" fontId="22" fillId="3" borderId="13" xfId="0" applyNumberFormat="1" applyFont="1" applyFill="1" applyBorder="1" applyAlignment="1">
      <alignment horizontal="center"/>
    </xf>
    <xf numFmtId="0" fontId="15" fillId="0" borderId="13" xfId="0" applyFont="1" applyBorder="1"/>
    <xf numFmtId="0" fontId="17" fillId="3" borderId="17" xfId="0" applyFont="1" applyFill="1" applyBorder="1" applyAlignment="1">
      <alignment horizontal="center"/>
    </xf>
    <xf numFmtId="0" fontId="15" fillId="3" borderId="17" xfId="0" applyFont="1" applyFill="1" applyBorder="1"/>
    <xf numFmtId="0" fontId="22" fillId="0" borderId="4" xfId="0" applyFont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2" fillId="3" borderId="20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3" borderId="33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/>
    </xf>
    <xf numFmtId="1" fontId="21" fillId="3" borderId="13" xfId="0" applyNumberFormat="1" applyFont="1" applyFill="1" applyBorder="1" applyAlignment="1">
      <alignment horizontal="center" vertical="center"/>
    </xf>
    <xf numFmtId="4" fontId="21" fillId="3" borderId="13" xfId="0" applyNumberFormat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4" fontId="21" fillId="3" borderId="17" xfId="0" applyNumberFormat="1" applyFont="1" applyFill="1" applyBorder="1" applyAlignment="1">
      <alignment horizontal="center" vertical="center"/>
    </xf>
    <xf numFmtId="2" fontId="22" fillId="3" borderId="13" xfId="0" applyNumberFormat="1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 vertical="center"/>
    </xf>
    <xf numFmtId="2" fontId="17" fillId="3" borderId="13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top" wrapText="1"/>
    </xf>
    <xf numFmtId="2" fontId="21" fillId="3" borderId="13" xfId="0" applyNumberFormat="1" applyFont="1" applyFill="1" applyBorder="1" applyAlignment="1">
      <alignment horizontal="center" vertical="center"/>
    </xf>
    <xf numFmtId="3" fontId="25" fillId="3" borderId="18" xfId="0" applyNumberFormat="1" applyFont="1" applyFill="1" applyBorder="1" applyAlignment="1">
      <alignment horizontal="center"/>
    </xf>
    <xf numFmtId="0" fontId="21" fillId="3" borderId="24" xfId="0" applyFont="1" applyFill="1" applyBorder="1" applyAlignment="1">
      <alignment horizontal="center" vertical="center"/>
    </xf>
    <xf numFmtId="4" fontId="21" fillId="3" borderId="13" xfId="0" applyNumberFormat="1" applyFont="1" applyFill="1" applyBorder="1" applyAlignment="1">
      <alignment horizontal="center" vertical="top" wrapText="1"/>
    </xf>
    <xf numFmtId="0" fontId="25" fillId="3" borderId="24" xfId="0" applyFont="1" applyFill="1" applyBorder="1" applyAlignment="1">
      <alignment horizontal="center"/>
    </xf>
    <xf numFmtId="1" fontId="25" fillId="3" borderId="24" xfId="0" applyNumberFormat="1" applyFont="1" applyFill="1" applyBorder="1" applyAlignment="1">
      <alignment horizontal="center"/>
    </xf>
    <xf numFmtId="4" fontId="21" fillId="3" borderId="24" xfId="0" applyNumberFormat="1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top"/>
    </xf>
    <xf numFmtId="4" fontId="18" fillId="3" borderId="13" xfId="0" applyNumberFormat="1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4" fontId="19" fillId="3" borderId="13" xfId="0" applyNumberFormat="1" applyFont="1" applyFill="1" applyBorder="1" applyAlignment="1">
      <alignment horizontal="center" wrapText="1"/>
    </xf>
    <xf numFmtId="14" fontId="22" fillId="3" borderId="13" xfId="0" applyNumberFormat="1" applyFont="1" applyFill="1" applyBorder="1" applyAlignment="1">
      <alignment horizontal="center"/>
    </xf>
    <xf numFmtId="0" fontId="22" fillId="3" borderId="13" xfId="0" applyFont="1" applyFill="1" applyBorder="1" applyAlignment="1">
      <alignment horizontal="left"/>
    </xf>
    <xf numFmtId="4" fontId="21" fillId="3" borderId="20" xfId="0" applyNumberFormat="1" applyFont="1" applyFill="1" applyBorder="1" applyAlignment="1">
      <alignment horizontal="center" wrapText="1"/>
    </xf>
    <xf numFmtId="0" fontId="22" fillId="3" borderId="17" xfId="0" applyFont="1" applyFill="1" applyBorder="1" applyAlignment="1">
      <alignment horizontal="center" vertical="center"/>
    </xf>
    <xf numFmtId="4" fontId="21" fillId="3" borderId="34" xfId="0" applyNumberFormat="1" applyFont="1" applyFill="1" applyBorder="1" applyAlignment="1">
      <alignment horizontal="center" vertical="center"/>
    </xf>
    <xf numFmtId="4" fontId="21" fillId="3" borderId="13" xfId="0" applyNumberFormat="1" applyFont="1" applyFill="1" applyBorder="1" applyAlignment="1">
      <alignment horizontal="center" wrapText="1"/>
    </xf>
    <xf numFmtId="49" fontId="21" fillId="3" borderId="13" xfId="0" applyNumberFormat="1" applyFont="1" applyFill="1" applyBorder="1" applyAlignment="1">
      <alignment horizontal="center" vertical="top" wrapText="1"/>
    </xf>
    <xf numFmtId="0" fontId="21" fillId="3" borderId="13" xfId="0" applyFont="1" applyFill="1" applyBorder="1" applyAlignment="1">
      <alignment horizontal="center" wrapText="1"/>
    </xf>
    <xf numFmtId="3" fontId="20" fillId="3" borderId="13" xfId="0" applyNumberFormat="1" applyFont="1" applyFill="1" applyBorder="1" applyAlignment="1">
      <alignment horizontal="center"/>
    </xf>
    <xf numFmtId="49" fontId="21" fillId="3" borderId="13" xfId="0" applyNumberFormat="1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2" fontId="21" fillId="3" borderId="20" xfId="0" applyNumberFormat="1" applyFont="1" applyFill="1" applyBorder="1" applyAlignment="1">
      <alignment horizontal="center" vertical="center"/>
    </xf>
    <xf numFmtId="49" fontId="22" fillId="3" borderId="13" xfId="0" applyNumberFormat="1" applyFont="1" applyFill="1" applyBorder="1" applyAlignment="1">
      <alignment horizontal="center"/>
    </xf>
    <xf numFmtId="1" fontId="21" fillId="3" borderId="13" xfId="0" applyNumberFormat="1" applyFont="1" applyFill="1" applyBorder="1" applyAlignment="1">
      <alignment horizontal="center"/>
    </xf>
    <xf numFmtId="3" fontId="25" fillId="3" borderId="13" xfId="0" applyNumberFormat="1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/>
    </xf>
    <xf numFmtId="3" fontId="22" fillId="3" borderId="13" xfId="0" applyNumberFormat="1" applyFont="1" applyFill="1" applyBorder="1" applyAlignment="1">
      <alignment horizontal="center" vertical="center" wrapText="1"/>
    </xf>
    <xf numFmtId="4" fontId="22" fillId="3" borderId="13" xfId="0" applyNumberFormat="1" applyFont="1" applyFill="1" applyBorder="1" applyAlignment="1">
      <alignment horizontal="center" vertical="center" wrapText="1"/>
    </xf>
    <xf numFmtId="4" fontId="4" fillId="3" borderId="49" xfId="0" applyNumberFormat="1" applyFont="1" applyFill="1" applyBorder="1" applyAlignment="1">
      <alignment horizontal="center"/>
    </xf>
    <xf numFmtId="4" fontId="4" fillId="3" borderId="60" xfId="0" applyNumberFormat="1" applyFont="1" applyFill="1" applyBorder="1" applyAlignment="1">
      <alignment horizontal="center"/>
    </xf>
    <xf numFmtId="3" fontId="18" fillId="3" borderId="23" xfId="0" applyNumberFormat="1" applyFont="1" applyFill="1" applyBorder="1" applyAlignment="1">
      <alignment horizontal="center"/>
    </xf>
    <xf numFmtId="1" fontId="25" fillId="3" borderId="13" xfId="0" applyNumberFormat="1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4" fontId="17" fillId="3" borderId="18" xfId="0" applyNumberFormat="1" applyFont="1" applyFill="1" applyBorder="1" applyAlignment="1">
      <alignment horizontal="center"/>
    </xf>
    <xf numFmtId="1" fontId="22" fillId="3" borderId="18" xfId="0" applyNumberFormat="1" applyFont="1" applyFill="1" applyBorder="1" applyAlignment="1">
      <alignment horizontal="center"/>
    </xf>
    <xf numFmtId="3" fontId="15" fillId="2" borderId="18" xfId="0" applyNumberFormat="1" applyFont="1" applyFill="1" applyBorder="1"/>
    <xf numFmtId="4" fontId="15" fillId="2" borderId="18" xfId="0" applyNumberFormat="1" applyFont="1" applyFill="1" applyBorder="1"/>
    <xf numFmtId="1" fontId="25" fillId="3" borderId="19" xfId="0" applyNumberFormat="1" applyFont="1" applyFill="1" applyBorder="1" applyAlignment="1">
      <alignment horizontal="center"/>
    </xf>
    <xf numFmtId="4" fontId="25" fillId="3" borderId="19" xfId="0" applyNumberFormat="1" applyFont="1" applyFill="1" applyBorder="1" applyAlignment="1">
      <alignment horizontal="center"/>
    </xf>
    <xf numFmtId="2" fontId="25" fillId="3" borderId="19" xfId="0" applyNumberFormat="1" applyFont="1" applyFill="1" applyBorder="1" applyAlignment="1">
      <alignment horizontal="center"/>
    </xf>
    <xf numFmtId="3" fontId="25" fillId="3" borderId="19" xfId="0" applyNumberFormat="1" applyFont="1" applyFill="1" applyBorder="1" applyAlignment="1">
      <alignment horizontal="center"/>
    </xf>
    <xf numFmtId="4" fontId="22" fillId="3" borderId="15" xfId="0" applyNumberFormat="1" applyFont="1" applyFill="1" applyBorder="1" applyAlignment="1">
      <alignment horizontal="center"/>
    </xf>
    <xf numFmtId="4" fontId="22" fillId="3" borderId="21" xfId="0" applyNumberFormat="1" applyFont="1" applyFill="1" applyBorder="1" applyAlignment="1">
      <alignment horizontal="center"/>
    </xf>
    <xf numFmtId="4" fontId="25" fillId="3" borderId="18" xfId="0" applyNumberFormat="1" applyFont="1" applyFill="1" applyBorder="1" applyAlignment="1">
      <alignment horizontal="center"/>
    </xf>
    <xf numFmtId="4" fontId="22" fillId="3" borderId="61" xfId="0" applyNumberFormat="1" applyFont="1" applyFill="1" applyBorder="1" applyAlignment="1">
      <alignment horizontal="center"/>
    </xf>
    <xf numFmtId="1" fontId="25" fillId="3" borderId="18" xfId="0" applyNumberFormat="1" applyFont="1" applyFill="1" applyBorder="1" applyAlignment="1">
      <alignment horizontal="center"/>
    </xf>
    <xf numFmtId="4" fontId="22" fillId="3" borderId="32" xfId="0" applyNumberFormat="1" applyFont="1" applyFill="1" applyBorder="1" applyAlignment="1">
      <alignment horizontal="center"/>
    </xf>
    <xf numFmtId="4" fontId="22" fillId="3" borderId="33" xfId="0" applyNumberFormat="1" applyFont="1" applyFill="1" applyBorder="1" applyAlignment="1">
      <alignment horizontal="center"/>
    </xf>
    <xf numFmtId="1" fontId="22" fillId="4" borderId="33" xfId="0" applyNumberFormat="1" applyFont="1" applyFill="1" applyBorder="1" applyAlignment="1">
      <alignment horizontal="center"/>
    </xf>
    <xf numFmtId="4" fontId="22" fillId="4" borderId="15" xfId="0" applyNumberFormat="1" applyFont="1" applyFill="1" applyBorder="1" applyAlignment="1">
      <alignment horizontal="center"/>
    </xf>
    <xf numFmtId="4" fontId="22" fillId="4" borderId="33" xfId="0" applyNumberFormat="1" applyFont="1" applyFill="1" applyBorder="1" applyAlignment="1">
      <alignment horizontal="center"/>
    </xf>
    <xf numFmtId="4" fontId="22" fillId="3" borderId="17" xfId="0" applyNumberFormat="1" applyFont="1" applyFill="1" applyBorder="1" applyAlignment="1">
      <alignment horizontal="center"/>
    </xf>
    <xf numFmtId="4" fontId="22" fillId="3" borderId="34" xfId="0" applyNumberFormat="1" applyFont="1" applyFill="1" applyBorder="1" applyAlignment="1">
      <alignment horizontal="center"/>
    </xf>
    <xf numFmtId="4" fontId="22" fillId="3" borderId="22" xfId="0" applyNumberFormat="1" applyFont="1" applyFill="1" applyBorder="1" applyAlignment="1">
      <alignment horizontal="center"/>
    </xf>
    <xf numFmtId="4" fontId="22" fillId="3" borderId="18" xfId="0" applyNumberFormat="1" applyFont="1" applyFill="1" applyBorder="1" applyAlignment="1">
      <alignment horizontal="center"/>
    </xf>
    <xf numFmtId="4" fontId="21" fillId="3" borderId="20" xfId="0" applyNumberFormat="1" applyFont="1" applyFill="1" applyBorder="1" applyAlignment="1">
      <alignment horizontal="center" vertical="center"/>
    </xf>
    <xf numFmtId="4" fontId="22" fillId="3" borderId="24" xfId="0" applyNumberFormat="1" applyFont="1" applyFill="1" applyBorder="1" applyAlignment="1">
      <alignment horizontal="center"/>
    </xf>
    <xf numFmtId="4" fontId="22" fillId="3" borderId="13" xfId="0" applyNumberFormat="1" applyFont="1" applyFill="1" applyBorder="1" applyAlignment="1">
      <alignment horizontal="center" vertical="center"/>
    </xf>
    <xf numFmtId="1" fontId="21" fillId="3" borderId="17" xfId="0" applyNumberFormat="1" applyFont="1" applyFill="1" applyBorder="1" applyAlignment="1">
      <alignment horizontal="center" vertical="center"/>
    </xf>
    <xf numFmtId="1" fontId="22" fillId="3" borderId="17" xfId="0" applyNumberFormat="1" applyFont="1" applyFill="1" applyBorder="1" applyAlignment="1">
      <alignment horizontal="center"/>
    </xf>
    <xf numFmtId="3" fontId="22" fillId="3" borderId="13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5" fillId="3" borderId="17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 wrapText="1"/>
    </xf>
    <xf numFmtId="1" fontId="17" fillId="3" borderId="18" xfId="0" applyNumberFormat="1" applyFont="1" applyFill="1" applyBorder="1" applyAlignment="1">
      <alignment horizontal="center"/>
    </xf>
    <xf numFmtId="1" fontId="17" fillId="3" borderId="19" xfId="0" applyNumberFormat="1" applyFont="1" applyFill="1" applyBorder="1" applyAlignment="1">
      <alignment horizontal="center"/>
    </xf>
    <xf numFmtId="3" fontId="21" fillId="3" borderId="13" xfId="0" applyNumberFormat="1" applyFont="1" applyFill="1" applyBorder="1" applyAlignment="1">
      <alignment horizontal="center" vertical="top" wrapText="1"/>
    </xf>
    <xf numFmtId="0" fontId="22" fillId="3" borderId="13" xfId="0" applyFont="1" applyFill="1" applyBorder="1" applyAlignment="1">
      <alignment horizontal="center" vertical="top" wrapText="1"/>
    </xf>
    <xf numFmtId="0" fontId="21" fillId="0" borderId="13" xfId="0" applyFont="1" applyBorder="1" applyAlignment="1">
      <alignment horizontal="center"/>
    </xf>
    <xf numFmtId="0" fontId="25" fillId="3" borderId="18" xfId="0" applyFont="1" applyFill="1" applyBorder="1" applyAlignment="1">
      <alignment horizontal="center"/>
    </xf>
    <xf numFmtId="3" fontId="22" fillId="3" borderId="7" xfId="0" applyNumberFormat="1" applyFont="1" applyFill="1" applyBorder="1" applyAlignment="1">
      <alignment horizontal="center"/>
    </xf>
    <xf numFmtId="4" fontId="22" fillId="3" borderId="7" xfId="0" applyNumberFormat="1" applyFont="1" applyFill="1" applyBorder="1" applyAlignment="1">
      <alignment horizontal="center"/>
    </xf>
    <xf numFmtId="4" fontId="20" fillId="3" borderId="13" xfId="0" applyNumberFormat="1" applyFont="1" applyFill="1" applyBorder="1" applyAlignment="1">
      <alignment horizontal="center"/>
    </xf>
    <xf numFmtId="4" fontId="25" fillId="3" borderId="13" xfId="0" applyNumberFormat="1" applyFont="1" applyFill="1" applyBorder="1" applyAlignment="1">
      <alignment horizontal="center"/>
    </xf>
    <xf numFmtId="49" fontId="22" fillId="3" borderId="13" xfId="0" applyNumberFormat="1" applyFont="1" applyFill="1" applyBorder="1" applyAlignment="1">
      <alignment horizontal="center" vertical="center"/>
    </xf>
    <xf numFmtId="1" fontId="17" fillId="3" borderId="13" xfId="0" applyNumberFormat="1" applyFont="1" applyFill="1" applyBorder="1" applyAlignment="1">
      <alignment horizontal="center"/>
    </xf>
    <xf numFmtId="3" fontId="21" fillId="3" borderId="20" xfId="0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/>
    </xf>
    <xf numFmtId="0" fontId="27" fillId="0" borderId="13" xfId="0" applyFont="1" applyBorder="1" applyAlignment="1">
      <alignment horizontal="center"/>
    </xf>
    <xf numFmtId="0" fontId="1" fillId="3" borderId="59" xfId="0" applyFont="1" applyFill="1" applyBorder="1"/>
    <xf numFmtId="0" fontId="27" fillId="0" borderId="13" xfId="0" applyFont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/>
    </xf>
    <xf numFmtId="1" fontId="21" fillId="3" borderId="20" xfId="0" applyNumberFormat="1" applyFont="1" applyFill="1" applyBorder="1" applyAlignment="1">
      <alignment horizontal="center" vertical="center"/>
    </xf>
    <xf numFmtId="1" fontId="21" fillId="3" borderId="13" xfId="0" applyNumberFormat="1" applyFont="1" applyFill="1" applyBorder="1" applyAlignment="1">
      <alignment horizontal="center" wrapText="1"/>
    </xf>
    <xf numFmtId="1" fontId="22" fillId="3" borderId="13" xfId="0" applyNumberFormat="1" applyFont="1" applyFill="1" applyBorder="1" applyAlignment="1">
      <alignment horizontal="center" vertical="center"/>
    </xf>
    <xf numFmtId="3" fontId="19" fillId="3" borderId="13" xfId="0" applyNumberFormat="1" applyFont="1" applyFill="1" applyBorder="1" applyAlignment="1">
      <alignment horizontal="center" wrapText="1"/>
    </xf>
    <xf numFmtId="2" fontId="22" fillId="3" borderId="20" xfId="0" applyNumberFormat="1" applyFont="1" applyFill="1" applyBorder="1" applyAlignment="1">
      <alignment horizontal="center"/>
    </xf>
    <xf numFmtId="3" fontId="22" fillId="3" borderId="13" xfId="0" applyNumberFormat="1" applyFont="1" applyFill="1" applyBorder="1" applyAlignment="1">
      <alignment horizontal="center" vertical="top"/>
    </xf>
    <xf numFmtId="4" fontId="22" fillId="3" borderId="13" xfId="0" applyNumberFormat="1" applyFont="1" applyFill="1" applyBorder="1" applyAlignment="1">
      <alignment horizontal="center" vertical="top"/>
    </xf>
    <xf numFmtId="4" fontId="4" fillId="3" borderId="59" xfId="0" applyNumberFormat="1" applyFont="1" applyFill="1" applyBorder="1" applyAlignment="1">
      <alignment horizontal="center"/>
    </xf>
    <xf numFmtId="0" fontId="22" fillId="3" borderId="60" xfId="0" applyFont="1" applyFill="1" applyBorder="1" applyAlignment="1">
      <alignment horizontal="center" vertical="top"/>
    </xf>
    <xf numFmtId="0" fontId="22" fillId="3" borderId="59" xfId="0" applyFont="1" applyFill="1" applyBorder="1" applyAlignment="1">
      <alignment horizontal="center"/>
    </xf>
    <xf numFmtId="0" fontId="22" fillId="3" borderId="62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1" fontId="29" fillId="3" borderId="13" xfId="0" applyNumberFormat="1" applyFont="1" applyFill="1" applyBorder="1" applyAlignment="1">
      <alignment horizontal="center"/>
    </xf>
    <xf numFmtId="1" fontId="29" fillId="3" borderId="24" xfId="0" applyNumberFormat="1" applyFont="1" applyFill="1" applyBorder="1" applyAlignment="1">
      <alignment horizontal="center"/>
    </xf>
    <xf numFmtId="1" fontId="29" fillId="3" borderId="18" xfId="0" applyNumberFormat="1" applyFont="1" applyFill="1" applyBorder="1" applyAlignment="1">
      <alignment horizontal="center"/>
    </xf>
    <xf numFmtId="1" fontId="29" fillId="3" borderId="19" xfId="0" applyNumberFormat="1" applyFont="1" applyFill="1" applyBorder="1" applyAlignment="1">
      <alignment horizontal="center"/>
    </xf>
    <xf numFmtId="1" fontId="17" fillId="3" borderId="13" xfId="0" applyNumberFormat="1" applyFont="1" applyFill="1" applyBorder="1" applyAlignment="1">
      <alignment horizontal="center" vertical="center"/>
    </xf>
    <xf numFmtId="4" fontId="17" fillId="3" borderId="13" xfId="0" applyNumberFormat="1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vertical="center"/>
    </xf>
    <xf numFmtId="1" fontId="17" fillId="3" borderId="17" xfId="0" applyNumberFormat="1" applyFont="1" applyFill="1" applyBorder="1" applyAlignment="1">
      <alignment horizontal="center" vertical="center"/>
    </xf>
    <xf numFmtId="1" fontId="25" fillId="3" borderId="17" xfId="0" applyNumberFormat="1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 vertical="center"/>
    </xf>
    <xf numFmtId="4" fontId="17" fillId="3" borderId="17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17" fillId="3" borderId="15" xfId="0" applyFont="1" applyFill="1" applyBorder="1"/>
    <xf numFmtId="2" fontId="25" fillId="3" borderId="13" xfId="0" applyNumberFormat="1" applyFont="1" applyFill="1" applyBorder="1" applyAlignment="1">
      <alignment horizontal="center"/>
    </xf>
    <xf numFmtId="2" fontId="17" fillId="3" borderId="4" xfId="0" applyNumberFormat="1" applyFont="1" applyFill="1" applyBorder="1" applyAlignment="1">
      <alignment horizontal="center" vertical="center"/>
    </xf>
    <xf numFmtId="2" fontId="17" fillId="3" borderId="2" xfId="0" applyNumberFormat="1" applyFont="1" applyFill="1" applyBorder="1" applyAlignment="1">
      <alignment horizontal="center" vertical="center"/>
    </xf>
    <xf numFmtId="2" fontId="25" fillId="3" borderId="4" xfId="0" applyNumberFormat="1" applyFont="1" applyFill="1" applyBorder="1" applyAlignment="1">
      <alignment horizontal="center" wrapText="1"/>
    </xf>
    <xf numFmtId="0" fontId="25" fillId="3" borderId="4" xfId="0" applyFont="1" applyFill="1" applyBorder="1" applyAlignment="1">
      <alignment horizontal="center" wrapText="1"/>
    </xf>
    <xf numFmtId="0" fontId="15" fillId="3" borderId="15" xfId="0" applyFont="1" applyFill="1" applyBorder="1"/>
    <xf numFmtId="3" fontId="17" fillId="3" borderId="13" xfId="0" applyNumberFormat="1" applyFont="1" applyFill="1" applyBorder="1" applyAlignment="1">
      <alignment horizontal="center" vertical="center"/>
    </xf>
    <xf numFmtId="4" fontId="17" fillId="3" borderId="20" xfId="0" applyNumberFormat="1" applyFont="1" applyFill="1" applyBorder="1" applyAlignment="1">
      <alignment horizontal="center" vertical="center"/>
    </xf>
    <xf numFmtId="4" fontId="17" fillId="3" borderId="21" xfId="0" applyNumberFormat="1" applyFont="1" applyFill="1" applyBorder="1" applyAlignment="1">
      <alignment horizontal="center" vertical="center"/>
    </xf>
    <xf numFmtId="3" fontId="25" fillId="3" borderId="13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5" fillId="3" borderId="13" xfId="0" applyFont="1" applyFill="1" applyBorder="1"/>
    <xf numFmtId="0" fontId="15" fillId="3" borderId="0" xfId="0" applyFont="1" applyFill="1"/>
    <xf numFmtId="4" fontId="25" fillId="3" borderId="13" xfId="0" applyNumberFormat="1" applyFont="1" applyFill="1" applyBorder="1" applyAlignment="1">
      <alignment horizontal="center" vertical="center"/>
    </xf>
    <xf numFmtId="0" fontId="25" fillId="3" borderId="62" xfId="0" applyFont="1" applyFill="1" applyBorder="1" applyAlignment="1">
      <alignment horizontal="center"/>
    </xf>
    <xf numFmtId="1" fontId="25" fillId="3" borderId="62" xfId="0" applyNumberFormat="1" applyFont="1" applyFill="1" applyBorder="1" applyAlignment="1">
      <alignment horizontal="center"/>
    </xf>
    <xf numFmtId="4" fontId="25" fillId="3" borderId="62" xfId="0" applyNumberFormat="1" applyFont="1" applyFill="1" applyBorder="1" applyAlignment="1">
      <alignment horizontal="center"/>
    </xf>
    <xf numFmtId="0" fontId="25" fillId="5" borderId="1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1" fillId="5" borderId="0" xfId="0" applyFont="1" applyFill="1"/>
    <xf numFmtId="3" fontId="21" fillId="3" borderId="29" xfId="0" applyNumberFormat="1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/>
    </xf>
    <xf numFmtId="3" fontId="17" fillId="3" borderId="43" xfId="0" applyNumberFormat="1" applyFont="1" applyFill="1" applyBorder="1" applyAlignment="1">
      <alignment horizontal="center"/>
    </xf>
    <xf numFmtId="3" fontId="21" fillId="3" borderId="66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3" borderId="17" xfId="0" applyFont="1" applyFill="1" applyBorder="1" applyAlignment="1">
      <alignment horizontal="center"/>
    </xf>
    <xf numFmtId="0" fontId="21" fillId="3" borderId="0" xfId="0" applyFont="1" applyFill="1"/>
    <xf numFmtId="2" fontId="22" fillId="3" borderId="21" xfId="0" applyNumberFormat="1" applyFont="1" applyFill="1" applyBorder="1" applyAlignment="1">
      <alignment horizontal="center"/>
    </xf>
    <xf numFmtId="0" fontId="22" fillId="3" borderId="34" xfId="0" applyFont="1" applyFill="1" applyBorder="1" applyAlignment="1">
      <alignment horizontal="center"/>
    </xf>
    <xf numFmtId="0" fontId="15" fillId="3" borderId="11" xfId="0" applyFont="1" applyFill="1" applyBorder="1"/>
    <xf numFmtId="0" fontId="6" fillId="0" borderId="20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69" xfId="0" applyFont="1" applyFill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3" borderId="67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49" fontId="21" fillId="0" borderId="13" xfId="0" applyNumberFormat="1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wrapText="1"/>
    </xf>
    <xf numFmtId="164" fontId="20" fillId="3" borderId="13" xfId="0" applyNumberFormat="1" applyFont="1" applyFill="1" applyBorder="1" applyAlignment="1">
      <alignment horizontal="center"/>
    </xf>
    <xf numFmtId="0" fontId="17" fillId="5" borderId="0" xfId="0" applyFont="1" applyFill="1"/>
    <xf numFmtId="1" fontId="29" fillId="5" borderId="13" xfId="0" applyNumberFormat="1" applyFont="1" applyFill="1" applyBorder="1" applyAlignment="1">
      <alignment horizontal="center"/>
    </xf>
    <xf numFmtId="1" fontId="17" fillId="5" borderId="0" xfId="0" applyNumberFormat="1" applyFont="1" applyFill="1"/>
    <xf numFmtId="0" fontId="17" fillId="3" borderId="59" xfId="0" applyFont="1" applyFill="1" applyBorder="1"/>
    <xf numFmtId="0" fontId="4" fillId="3" borderId="59" xfId="0" applyFont="1" applyFill="1" applyBorder="1" applyAlignment="1">
      <alignment horizontal="left"/>
    </xf>
    <xf numFmtId="3" fontId="18" fillId="3" borderId="59" xfId="0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1" fillId="3" borderId="59" xfId="0" applyFont="1" applyFill="1" applyBorder="1"/>
    <xf numFmtId="2" fontId="22" fillId="3" borderId="31" xfId="0" applyNumberFormat="1" applyFont="1" applyFill="1" applyBorder="1" applyAlignment="1">
      <alignment horizontal="center"/>
    </xf>
    <xf numFmtId="0" fontId="21" fillId="3" borderId="59" xfId="0" applyFont="1" applyFill="1" applyBorder="1" applyAlignment="1">
      <alignment vertical="center"/>
    </xf>
    <xf numFmtId="0" fontId="22" fillId="3" borderId="13" xfId="0" applyFont="1" applyFill="1" applyBorder="1"/>
    <xf numFmtId="0" fontId="30" fillId="3" borderId="59" xfId="0" applyFont="1" applyFill="1" applyBorder="1"/>
    <xf numFmtId="0" fontId="27" fillId="3" borderId="4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7" fillId="3" borderId="18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59" xfId="0" applyFont="1" applyBorder="1"/>
    <xf numFmtId="0" fontId="0" fillId="0" borderId="0" xfId="0" applyFont="1" applyAlignment="1"/>
    <xf numFmtId="4" fontId="22" fillId="3" borderId="59" xfId="0" applyNumberFormat="1" applyFont="1" applyFill="1" applyBorder="1" applyAlignment="1">
      <alignment horizontal="center"/>
    </xf>
    <xf numFmtId="4" fontId="4" fillId="3" borderId="59" xfId="0" applyNumberFormat="1" applyFont="1" applyFill="1" applyBorder="1" applyAlignment="1">
      <alignment horizontal="left"/>
    </xf>
    <xf numFmtId="3" fontId="4" fillId="3" borderId="59" xfId="0" applyNumberFormat="1" applyFont="1" applyFill="1" applyBorder="1" applyAlignment="1">
      <alignment horizontal="center"/>
    </xf>
    <xf numFmtId="164" fontId="4" fillId="3" borderId="59" xfId="0" applyNumberFormat="1" applyFont="1" applyFill="1" applyBorder="1" applyAlignment="1">
      <alignment horizontal="center"/>
    </xf>
    <xf numFmtId="4" fontId="1" fillId="3" borderId="59" xfId="0" applyNumberFormat="1" applyFont="1" applyFill="1" applyBorder="1"/>
    <xf numFmtId="3" fontId="21" fillId="3" borderId="65" xfId="0" applyNumberFormat="1" applyFont="1" applyFill="1" applyBorder="1" applyAlignment="1">
      <alignment horizontal="center" vertical="center"/>
    </xf>
    <xf numFmtId="0" fontId="15" fillId="0" borderId="17" xfId="0" applyFont="1" applyBorder="1"/>
    <xf numFmtId="3" fontId="15" fillId="2" borderId="43" xfId="0" applyNumberFormat="1" applyFont="1" applyFill="1" applyBorder="1"/>
    <xf numFmtId="4" fontId="15" fillId="2" borderId="43" xfId="0" applyNumberFormat="1" applyFont="1" applyFill="1" applyBorder="1"/>
    <xf numFmtId="0" fontId="20" fillId="6" borderId="24" xfId="0" applyFont="1" applyFill="1" applyBorder="1"/>
    <xf numFmtId="0" fontId="24" fillId="5" borderId="22" xfId="0" applyFont="1" applyFill="1" applyBorder="1"/>
    <xf numFmtId="0" fontId="24" fillId="5" borderId="18" xfId="0" applyFont="1" applyFill="1" applyBorder="1"/>
    <xf numFmtId="49" fontId="28" fillId="3" borderId="13" xfId="0" applyNumberFormat="1" applyFont="1" applyFill="1" applyBorder="1" applyAlignment="1">
      <alignment horizontal="center"/>
    </xf>
    <xf numFmtId="0" fontId="22" fillId="3" borderId="20" xfId="0" applyFont="1" applyFill="1" applyBorder="1" applyAlignment="1">
      <alignment horizontal="center"/>
    </xf>
    <xf numFmtId="0" fontId="21" fillId="3" borderId="20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4" fontId="21" fillId="3" borderId="17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" fontId="21" fillId="3" borderId="20" xfId="0" applyNumberFormat="1" applyFont="1" applyFill="1" applyBorder="1" applyAlignment="1">
      <alignment horizontal="center" vertical="center"/>
    </xf>
    <xf numFmtId="4" fontId="21" fillId="3" borderId="17" xfId="0" applyNumberFormat="1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9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4" fontId="22" fillId="3" borderId="20" xfId="0" applyNumberFormat="1" applyFont="1" applyFill="1" applyBorder="1" applyAlignment="1">
      <alignment horizontal="center"/>
    </xf>
    <xf numFmtId="4" fontId="22" fillId="3" borderId="17" xfId="0" applyNumberFormat="1" applyFont="1" applyFill="1" applyBorder="1" applyAlignment="1">
      <alignment horizontal="center"/>
    </xf>
    <xf numFmtId="0" fontId="22" fillId="3" borderId="20" xfId="0" applyFont="1" applyFill="1" applyBorder="1" applyAlignment="1">
      <alignment horizontal="center"/>
    </xf>
    <xf numFmtId="0" fontId="0" fillId="0" borderId="0" xfId="0" applyFont="1" applyAlignment="1"/>
    <xf numFmtId="3" fontId="18" fillId="3" borderId="77" xfId="0" applyNumberFormat="1" applyFont="1" applyFill="1" applyBorder="1" applyAlignment="1">
      <alignment horizontal="center"/>
    </xf>
    <xf numFmtId="4" fontId="4" fillId="3" borderId="78" xfId="0" applyNumberFormat="1" applyFont="1" applyFill="1" applyBorder="1" applyAlignment="1">
      <alignment horizontal="center"/>
    </xf>
    <xf numFmtId="4" fontId="4" fillId="3" borderId="77" xfId="0" applyNumberFormat="1" applyFont="1" applyFill="1" applyBorder="1" applyAlignment="1">
      <alignment horizontal="center"/>
    </xf>
    <xf numFmtId="164" fontId="4" fillId="3" borderId="78" xfId="0" applyNumberFormat="1" applyFont="1" applyFill="1" applyBorder="1" applyAlignment="1">
      <alignment horizontal="center"/>
    </xf>
    <xf numFmtId="165" fontId="4" fillId="3" borderId="79" xfId="0" applyNumberFormat="1" applyFont="1" applyFill="1" applyBorder="1" applyAlignment="1">
      <alignment horizontal="center"/>
    </xf>
    <xf numFmtId="165" fontId="4" fillId="3" borderId="78" xfId="0" applyNumberFormat="1" applyFont="1" applyFill="1" applyBorder="1" applyAlignment="1">
      <alignment horizontal="center"/>
    </xf>
    <xf numFmtId="0" fontId="9" fillId="3" borderId="59" xfId="0" applyFont="1" applyFill="1" applyBorder="1"/>
    <xf numFmtId="0" fontId="1" fillId="0" borderId="59" xfId="0" applyFont="1" applyBorder="1"/>
    <xf numFmtId="0" fontId="22" fillId="3" borderId="59" xfId="0" applyFont="1" applyFill="1" applyBorder="1" applyAlignment="1">
      <alignment horizontal="center" vertical="center"/>
    </xf>
    <xf numFmtId="4" fontId="22" fillId="3" borderId="81" xfId="0" applyNumberFormat="1" applyFont="1" applyFill="1" applyBorder="1" applyAlignment="1">
      <alignment horizontal="center"/>
    </xf>
    <xf numFmtId="0" fontId="22" fillId="3" borderId="81" xfId="0" applyFont="1" applyFill="1" applyBorder="1" applyAlignment="1">
      <alignment horizontal="center"/>
    </xf>
    <xf numFmtId="0" fontId="22" fillId="3" borderId="81" xfId="0" applyFont="1" applyFill="1" applyBorder="1" applyAlignment="1">
      <alignment horizontal="center" vertical="center"/>
    </xf>
    <xf numFmtId="4" fontId="21" fillId="3" borderId="81" xfId="0" applyNumberFormat="1" applyFont="1" applyFill="1" applyBorder="1" applyAlignment="1">
      <alignment horizontal="center" wrapText="1"/>
    </xf>
    <xf numFmtId="0" fontId="3" fillId="3" borderId="78" xfId="0" applyFont="1" applyFill="1" applyBorder="1" applyAlignment="1">
      <alignment horizontal="center"/>
    </xf>
    <xf numFmtId="1" fontId="4" fillId="3" borderId="78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vertical="center"/>
    </xf>
    <xf numFmtId="3" fontId="21" fillId="0" borderId="13" xfId="0" applyNumberFormat="1" applyFont="1" applyFill="1" applyBorder="1" applyAlignment="1">
      <alignment horizontal="center" vertical="center"/>
    </xf>
    <xf numFmtId="4" fontId="21" fillId="0" borderId="13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Fill="1" applyAlignment="1"/>
    <xf numFmtId="0" fontId="3" fillId="0" borderId="13" xfId="0" applyFont="1" applyFill="1" applyBorder="1" applyAlignment="1">
      <alignment horizontal="center"/>
    </xf>
    <xf numFmtId="3" fontId="22" fillId="0" borderId="13" xfId="0" applyNumberFormat="1" applyFont="1" applyFill="1" applyBorder="1" applyAlignment="1">
      <alignment horizontal="center"/>
    </xf>
    <xf numFmtId="4" fontId="22" fillId="0" borderId="13" xfId="0" applyNumberFormat="1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9" fillId="0" borderId="59" xfId="0" applyFont="1" applyFill="1" applyBorder="1" applyAlignment="1">
      <alignment horizontal="center"/>
    </xf>
    <xf numFmtId="4" fontId="4" fillId="3" borderId="40" xfId="0" applyNumberFormat="1" applyFont="1" applyFill="1" applyBorder="1" applyAlignment="1">
      <alignment horizontal="center"/>
    </xf>
    <xf numFmtId="0" fontId="21" fillId="3" borderId="62" xfId="0" applyFont="1" applyFill="1" applyBorder="1" applyAlignment="1">
      <alignment horizontal="center"/>
    </xf>
    <xf numFmtId="0" fontId="40" fillId="3" borderId="13" xfId="0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/>
    </xf>
    <xf numFmtId="3" fontId="40" fillId="3" borderId="13" xfId="0" applyNumberFormat="1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/>
    </xf>
    <xf numFmtId="3" fontId="29" fillId="3" borderId="13" xfId="0" applyNumberFormat="1" applyFont="1" applyFill="1" applyBorder="1" applyAlignment="1">
      <alignment horizontal="center"/>
    </xf>
    <xf numFmtId="3" fontId="27" fillId="3" borderId="13" xfId="0" applyNumberFormat="1" applyFont="1" applyFill="1" applyBorder="1" applyAlignment="1">
      <alignment horizontal="center"/>
    </xf>
    <xf numFmtId="1" fontId="40" fillId="3" borderId="13" xfId="0" applyNumberFormat="1" applyFont="1" applyFill="1" applyBorder="1" applyAlignment="1">
      <alignment horizontal="center"/>
    </xf>
    <xf numFmtId="0" fontId="40" fillId="3" borderId="17" xfId="0" applyFont="1" applyFill="1" applyBorder="1" applyAlignment="1">
      <alignment horizontal="center"/>
    </xf>
    <xf numFmtId="0" fontId="40" fillId="3" borderId="13" xfId="0" applyFont="1" applyFill="1" applyBorder="1" applyAlignment="1">
      <alignment horizontal="center"/>
    </xf>
    <xf numFmtId="0" fontId="41" fillId="3" borderId="13" xfId="0" applyFont="1" applyFill="1" applyBorder="1" applyAlignment="1">
      <alignment horizontal="center" vertical="center"/>
    </xf>
    <xf numFmtId="0" fontId="48" fillId="3" borderId="17" xfId="0" applyFont="1" applyFill="1" applyBorder="1" applyAlignment="1">
      <alignment horizontal="center"/>
    </xf>
    <xf numFmtId="1" fontId="27" fillId="3" borderId="13" xfId="0" applyNumberFormat="1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1" fontId="27" fillId="3" borderId="13" xfId="0" applyNumberFormat="1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top" wrapText="1"/>
    </xf>
    <xf numFmtId="1" fontId="42" fillId="3" borderId="20" xfId="0" applyNumberFormat="1" applyFont="1" applyFill="1" applyBorder="1" applyAlignment="1">
      <alignment horizontal="center"/>
    </xf>
    <xf numFmtId="1" fontId="42" fillId="3" borderId="62" xfId="0" applyNumberFormat="1" applyFont="1" applyFill="1" applyBorder="1" applyAlignment="1">
      <alignment horizontal="center"/>
    </xf>
    <xf numFmtId="3" fontId="42" fillId="3" borderId="31" xfId="0" applyNumberFormat="1" applyFont="1" applyFill="1" applyBorder="1" applyAlignment="1">
      <alignment horizontal="center"/>
    </xf>
    <xf numFmtId="3" fontId="42" fillId="3" borderId="62" xfId="0" applyNumberFormat="1" applyFont="1" applyFill="1" applyBorder="1" applyAlignment="1">
      <alignment horizontal="center"/>
    </xf>
    <xf numFmtId="0" fontId="40" fillId="3" borderId="20" xfId="0" applyFont="1" applyFill="1" applyBorder="1" applyAlignment="1">
      <alignment horizontal="center"/>
    </xf>
    <xf numFmtId="1" fontId="40" fillId="3" borderId="24" xfId="0" applyNumberFormat="1" applyFont="1" applyFill="1" applyBorder="1" applyAlignment="1">
      <alignment horizontal="center" vertical="center"/>
    </xf>
    <xf numFmtId="3" fontId="40" fillId="3" borderId="13" xfId="0" applyNumberFormat="1" applyFont="1" applyFill="1" applyBorder="1" applyAlignment="1">
      <alignment horizontal="center" vertical="center"/>
    </xf>
    <xf numFmtId="3" fontId="40" fillId="3" borderId="13" xfId="0" applyNumberFormat="1" applyFont="1" applyFill="1" applyBorder="1" applyAlignment="1">
      <alignment horizontal="center" vertical="top" wrapText="1"/>
    </xf>
    <xf numFmtId="0" fontId="40" fillId="3" borderId="20" xfId="0" applyFont="1" applyFill="1" applyBorder="1" applyAlignment="1">
      <alignment horizontal="center" vertical="center"/>
    </xf>
    <xf numFmtId="0" fontId="44" fillId="3" borderId="13" xfId="0" applyFont="1" applyFill="1" applyBorder="1" applyAlignment="1">
      <alignment horizontal="center"/>
    </xf>
    <xf numFmtId="0" fontId="42" fillId="3" borderId="20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42" fillId="3" borderId="33" xfId="0" applyFont="1" applyFill="1" applyBorder="1" applyAlignment="1">
      <alignment horizontal="center" vertical="center"/>
    </xf>
    <xf numFmtId="0" fontId="42" fillId="3" borderId="13" xfId="0" applyFont="1" applyFill="1" applyBorder="1" applyAlignment="1">
      <alignment horizontal="center" vertical="center"/>
    </xf>
    <xf numFmtId="0" fontId="42" fillId="3" borderId="18" xfId="0" applyFont="1" applyFill="1" applyBorder="1" applyAlignment="1">
      <alignment horizontal="center" vertical="center"/>
    </xf>
    <xf numFmtId="0" fontId="42" fillId="3" borderId="38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left"/>
    </xf>
    <xf numFmtId="0" fontId="33" fillId="3" borderId="22" xfId="0" applyFont="1" applyFill="1" applyBorder="1" applyAlignment="1">
      <alignment horizontal="left"/>
    </xf>
    <xf numFmtId="0" fontId="33" fillId="3" borderId="18" xfId="0" applyFont="1" applyFill="1" applyBorder="1" applyAlignment="1">
      <alignment horizontal="left"/>
    </xf>
    <xf numFmtId="0" fontId="18" fillId="3" borderId="20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left"/>
    </xf>
    <xf numFmtId="0" fontId="37" fillId="3" borderId="22" xfId="0" applyFont="1" applyFill="1" applyBorder="1" applyAlignment="1">
      <alignment horizontal="left"/>
    </xf>
    <xf numFmtId="0" fontId="37" fillId="3" borderId="18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left"/>
    </xf>
    <xf numFmtId="0" fontId="15" fillId="5" borderId="6" xfId="0" applyFont="1" applyFill="1" applyBorder="1"/>
    <xf numFmtId="0" fontId="15" fillId="5" borderId="7" xfId="0" applyFont="1" applyFill="1" applyBorder="1"/>
    <xf numFmtId="0" fontId="22" fillId="3" borderId="5" xfId="0" applyFont="1" applyFill="1" applyBorder="1" applyAlignment="1">
      <alignment horizontal="left"/>
    </xf>
    <xf numFmtId="0" fontId="23" fillId="0" borderId="6" xfId="0" applyFont="1" applyBorder="1"/>
    <xf numFmtId="0" fontId="23" fillId="0" borderId="7" xfId="0" applyFont="1" applyBorder="1"/>
    <xf numFmtId="0" fontId="3" fillId="3" borderId="5" xfId="0" applyFont="1" applyFill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33" fillId="3" borderId="5" xfId="0" applyFont="1" applyFill="1" applyBorder="1" applyAlignment="1">
      <alignment horizontal="left"/>
    </xf>
    <xf numFmtId="0" fontId="34" fillId="0" borderId="6" xfId="0" applyFont="1" applyBorder="1"/>
    <xf numFmtId="0" fontId="34" fillId="0" borderId="7" xfId="0" applyFont="1" applyBorder="1"/>
    <xf numFmtId="0" fontId="18" fillId="10" borderId="5" xfId="0" applyFont="1" applyFill="1" applyBorder="1" applyAlignment="1">
      <alignment horizontal="left"/>
    </xf>
    <xf numFmtId="0" fontId="24" fillId="8" borderId="6" xfId="0" applyFont="1" applyFill="1" applyBorder="1"/>
    <xf numFmtId="0" fontId="24" fillId="8" borderId="7" xfId="0" applyFont="1" applyFill="1" applyBorder="1"/>
    <xf numFmtId="0" fontId="10" fillId="3" borderId="5" xfId="0" applyFont="1" applyFill="1" applyBorder="1" applyAlignment="1">
      <alignment horizontal="left"/>
    </xf>
    <xf numFmtId="0" fontId="18" fillId="3" borderId="59" xfId="0" applyFont="1" applyFill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4" fontId="21" fillId="3" borderId="20" xfId="0" applyNumberFormat="1" applyFont="1" applyFill="1" applyBorder="1" applyAlignment="1">
      <alignment horizontal="center" vertical="center"/>
    </xf>
    <xf numFmtId="4" fontId="21" fillId="3" borderId="40" xfId="0" applyNumberFormat="1" applyFont="1" applyFill="1" applyBorder="1" applyAlignment="1">
      <alignment horizontal="center" vertical="center"/>
    </xf>
    <xf numFmtId="4" fontId="21" fillId="3" borderId="17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center"/>
    </xf>
    <xf numFmtId="0" fontId="23" fillId="0" borderId="11" xfId="0" applyFont="1" applyBorder="1"/>
    <xf numFmtId="0" fontId="32" fillId="0" borderId="6" xfId="0" applyFont="1" applyBorder="1"/>
    <xf numFmtId="0" fontId="32" fillId="0" borderId="7" xfId="0" applyFont="1" applyBorder="1"/>
    <xf numFmtId="0" fontId="20" fillId="9" borderId="5" xfId="0" applyFont="1" applyFill="1" applyBorder="1" applyAlignment="1">
      <alignment horizontal="left"/>
    </xf>
    <xf numFmtId="0" fontId="3" fillId="3" borderId="2" xfId="0" applyFont="1" applyFill="1" applyBorder="1"/>
    <xf numFmtId="0" fontId="5" fillId="0" borderId="3" xfId="0" applyFont="1" applyBorder="1"/>
    <xf numFmtId="0" fontId="5" fillId="0" borderId="1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/>
    <xf numFmtId="4" fontId="21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18" fillId="9" borderId="24" xfId="0" applyFont="1" applyFill="1" applyBorder="1" applyAlignment="1">
      <alignment horizontal="left"/>
    </xf>
    <xf numFmtId="0" fontId="18" fillId="9" borderId="22" xfId="0" applyFont="1" applyFill="1" applyBorder="1" applyAlignment="1">
      <alignment horizontal="left"/>
    </xf>
    <xf numFmtId="0" fontId="18" fillId="9" borderId="18" xfId="0" applyFont="1" applyFill="1" applyBorder="1" applyAlignment="1">
      <alignment horizontal="left"/>
    </xf>
    <xf numFmtId="0" fontId="22" fillId="3" borderId="24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8" xfId="0" applyFont="1" applyFill="1" applyBorder="1" applyAlignment="1">
      <alignment horizontal="left"/>
    </xf>
    <xf numFmtId="0" fontId="21" fillId="3" borderId="2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left" vertical="center" wrapText="1"/>
    </xf>
    <xf numFmtId="0" fontId="22" fillId="3" borderId="60" xfId="0" applyFont="1" applyFill="1" applyBorder="1" applyAlignment="1">
      <alignment horizontal="left" vertical="center" wrapText="1"/>
    </xf>
    <xf numFmtId="0" fontId="22" fillId="3" borderId="31" xfId="0" applyFont="1" applyFill="1" applyBorder="1" applyAlignment="1">
      <alignment horizontal="left" vertical="center" wrapText="1"/>
    </xf>
    <xf numFmtId="0" fontId="22" fillId="3" borderId="49" xfId="0" applyFont="1" applyFill="1" applyBorder="1" applyAlignment="1">
      <alignment horizontal="left" vertical="center" wrapText="1"/>
    </xf>
    <xf numFmtId="0" fontId="22" fillId="3" borderId="59" xfId="0" applyFont="1" applyFill="1" applyBorder="1" applyAlignment="1">
      <alignment horizontal="left" vertical="center" wrapText="1"/>
    </xf>
    <xf numFmtId="0" fontId="22" fillId="3" borderId="38" xfId="0" applyFont="1" applyFill="1" applyBorder="1" applyAlignment="1">
      <alignment horizontal="left" vertical="center" wrapText="1"/>
    </xf>
    <xf numFmtId="0" fontId="22" fillId="3" borderId="41" xfId="0" applyFont="1" applyFill="1" applyBorder="1" applyAlignment="1">
      <alignment horizontal="left" vertical="center" wrapText="1"/>
    </xf>
    <xf numFmtId="0" fontId="22" fillId="3" borderId="42" xfId="0" applyFont="1" applyFill="1" applyBorder="1" applyAlignment="1">
      <alignment horizontal="left" vertical="center" wrapText="1"/>
    </xf>
    <xf numFmtId="0" fontId="22" fillId="3" borderId="43" xfId="0" applyFont="1" applyFill="1" applyBorder="1" applyAlignment="1">
      <alignment horizontal="left" vertical="center" wrapText="1"/>
    </xf>
    <xf numFmtId="0" fontId="22" fillId="3" borderId="24" xfId="0" applyFont="1" applyFill="1" applyBorder="1" applyAlignment="1">
      <alignment horizontal="left" wrapText="1"/>
    </xf>
    <xf numFmtId="0" fontId="22" fillId="3" borderId="22" xfId="0" applyFont="1" applyFill="1" applyBorder="1" applyAlignment="1">
      <alignment horizontal="left" wrapText="1"/>
    </xf>
    <xf numFmtId="0" fontId="22" fillId="3" borderId="18" xfId="0" applyFont="1" applyFill="1" applyBorder="1" applyAlignment="1">
      <alignment horizontal="left" wrapText="1"/>
    </xf>
    <xf numFmtId="0" fontId="22" fillId="3" borderId="20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22" fillId="3" borderId="29" xfId="0" applyFont="1" applyFill="1" applyBorder="1" applyAlignment="1">
      <alignment horizontal="left"/>
    </xf>
    <xf numFmtId="0" fontId="22" fillId="3" borderId="60" xfId="0" applyFont="1" applyFill="1" applyBorder="1" applyAlignment="1">
      <alignment horizontal="left"/>
    </xf>
    <xf numFmtId="0" fontId="22" fillId="3" borderId="31" xfId="0" applyFont="1" applyFill="1" applyBorder="1" applyAlignment="1">
      <alignment horizontal="left"/>
    </xf>
    <xf numFmtId="0" fontId="22" fillId="3" borderId="41" xfId="0" applyFont="1" applyFill="1" applyBorder="1" applyAlignment="1">
      <alignment horizontal="left"/>
    </xf>
    <xf numFmtId="0" fontId="22" fillId="3" borderId="42" xfId="0" applyFont="1" applyFill="1" applyBorder="1" applyAlignment="1">
      <alignment horizontal="left"/>
    </xf>
    <xf numFmtId="0" fontId="22" fillId="3" borderId="43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center" wrapText="1"/>
    </xf>
    <xf numFmtId="0" fontId="20" fillId="9" borderId="24" xfId="0" applyFont="1" applyFill="1" applyBorder="1" applyAlignment="1">
      <alignment horizontal="left"/>
    </xf>
    <xf numFmtId="0" fontId="20" fillId="9" borderId="22" xfId="0" applyFont="1" applyFill="1" applyBorder="1" applyAlignment="1">
      <alignment horizontal="left"/>
    </xf>
    <xf numFmtId="0" fontId="20" fillId="9" borderId="18" xfId="0" applyFont="1" applyFill="1" applyBorder="1" applyAlignment="1">
      <alignment horizontal="left"/>
    </xf>
    <xf numFmtId="0" fontId="22" fillId="3" borderId="24" xfId="0" applyFont="1" applyFill="1" applyBorder="1" applyAlignment="1">
      <alignment horizontal="left" vertical="center" wrapText="1"/>
    </xf>
    <xf numFmtId="0" fontId="22" fillId="3" borderId="22" xfId="0" applyFont="1" applyFill="1" applyBorder="1" applyAlignment="1">
      <alignment horizontal="left" vertical="center" wrapText="1"/>
    </xf>
    <xf numFmtId="0" fontId="22" fillId="3" borderId="18" xfId="0" applyFont="1" applyFill="1" applyBorder="1" applyAlignment="1">
      <alignment horizontal="left" vertical="center" wrapText="1"/>
    </xf>
    <xf numFmtId="0" fontId="25" fillId="3" borderId="24" xfId="0" applyFont="1" applyFill="1" applyBorder="1" applyAlignment="1">
      <alignment horizontal="left"/>
    </xf>
    <xf numFmtId="0" fontId="25" fillId="3" borderId="22" xfId="0" applyFont="1" applyFill="1" applyBorder="1" applyAlignment="1">
      <alignment horizontal="left"/>
    </xf>
    <xf numFmtId="0" fontId="25" fillId="3" borderId="18" xfId="0" applyFont="1" applyFill="1" applyBorder="1" applyAlignment="1">
      <alignment horizontal="left"/>
    </xf>
    <xf numFmtId="0" fontId="18" fillId="9" borderId="5" xfId="0" applyFont="1" applyFill="1" applyBorder="1" applyAlignment="1">
      <alignment horizontal="left"/>
    </xf>
    <xf numFmtId="0" fontId="4" fillId="3" borderId="35" xfId="0" applyFont="1" applyFill="1" applyBorder="1" applyAlignment="1">
      <alignment horizontal="center"/>
    </xf>
    <xf numFmtId="0" fontId="5" fillId="0" borderId="36" xfId="0" applyFont="1" applyBorder="1"/>
    <xf numFmtId="0" fontId="5" fillId="0" borderId="37" xfId="0" applyFont="1" applyBorder="1"/>
    <xf numFmtId="0" fontId="4" fillId="0" borderId="4" xfId="0" applyFont="1" applyBorder="1" applyAlignment="1">
      <alignment horizontal="center" vertical="center"/>
    </xf>
    <xf numFmtId="0" fontId="5" fillId="0" borderId="11" xfId="0" applyFont="1" applyBorder="1"/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" fontId="22" fillId="3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22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left" vertical="center"/>
    </xf>
    <xf numFmtId="4" fontId="22" fillId="3" borderId="4" xfId="0" applyNumberFormat="1" applyFont="1" applyFill="1" applyBorder="1" applyAlignment="1">
      <alignment horizontal="center"/>
    </xf>
    <xf numFmtId="0" fontId="20" fillId="7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14" fillId="3" borderId="5" xfId="0" applyFont="1" applyFill="1" applyBorder="1"/>
    <xf numFmtId="0" fontId="3" fillId="3" borderId="5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center" vertical="center"/>
    </xf>
    <xf numFmtId="2" fontId="21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2" fontId="25" fillId="3" borderId="58" xfId="0" applyNumberFormat="1" applyFont="1" applyFill="1" applyBorder="1" applyAlignment="1">
      <alignment vertical="center"/>
    </xf>
    <xf numFmtId="0" fontId="23" fillId="0" borderId="59" xfId="0" applyFont="1" applyBorder="1"/>
    <xf numFmtId="0" fontId="3" fillId="3" borderId="4" xfId="0" applyFont="1" applyFill="1" applyBorder="1" applyAlignment="1">
      <alignment horizontal="center"/>
    </xf>
    <xf numFmtId="0" fontId="10" fillId="3" borderId="2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4" fontId="21" fillId="3" borderId="40" xfId="0" applyNumberFormat="1" applyFont="1" applyFill="1" applyBorder="1" applyAlignment="1">
      <alignment horizontal="center"/>
    </xf>
    <xf numFmtId="0" fontId="8" fillId="9" borderId="5" xfId="0" applyFont="1" applyFill="1" applyBorder="1" applyAlignment="1">
      <alignment horizontal="left"/>
    </xf>
    <xf numFmtId="0" fontId="5" fillId="8" borderId="6" xfId="0" applyFont="1" applyFill="1" applyBorder="1"/>
    <xf numFmtId="0" fontId="5" fillId="8" borderId="7" xfId="0" applyFont="1" applyFill="1" applyBorder="1"/>
    <xf numFmtId="0" fontId="21" fillId="3" borderId="4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5" fillId="0" borderId="60" xfId="0" applyFont="1" applyBorder="1"/>
    <xf numFmtId="0" fontId="5" fillId="0" borderId="31" xfId="0" applyFont="1" applyBorder="1"/>
    <xf numFmtId="0" fontId="18" fillId="9" borderId="63" xfId="0" applyFont="1" applyFill="1" applyBorder="1" applyAlignment="1">
      <alignment horizontal="left"/>
    </xf>
    <xf numFmtId="0" fontId="24" fillId="8" borderId="64" xfId="0" applyFont="1" applyFill="1" applyBorder="1"/>
    <xf numFmtId="0" fontId="24" fillId="8" borderId="65" xfId="0" applyFont="1" applyFill="1" applyBorder="1"/>
    <xf numFmtId="0" fontId="3" fillId="3" borderId="49" xfId="0" applyFont="1" applyFill="1" applyBorder="1" applyAlignment="1">
      <alignment horizontal="left" vertical="center" wrapText="1"/>
    </xf>
    <xf numFmtId="0" fontId="5" fillId="0" borderId="59" xfId="0" applyFont="1" applyBorder="1"/>
    <xf numFmtId="0" fontId="5" fillId="0" borderId="38" xfId="0" applyFont="1" applyBorder="1"/>
    <xf numFmtId="0" fontId="3" fillId="3" borderId="5" xfId="0" applyFont="1" applyFill="1" applyBorder="1" applyAlignment="1">
      <alignment vertical="center"/>
    </xf>
    <xf numFmtId="4" fontId="21" fillId="3" borderId="4" xfId="0" applyNumberFormat="1" applyFont="1" applyFill="1" applyBorder="1" applyAlignment="1">
      <alignment horizontal="center" vertical="center"/>
    </xf>
    <xf numFmtId="0" fontId="23" fillId="0" borderId="12" xfId="0" applyFont="1" applyBorder="1"/>
    <xf numFmtId="0" fontId="5" fillId="0" borderId="16" xfId="0" applyFont="1" applyBorder="1"/>
    <xf numFmtId="0" fontId="0" fillId="0" borderId="0" xfId="0" applyFont="1" applyAlignment="1"/>
    <xf numFmtId="0" fontId="5" fillId="0" borderId="14" xfId="0" applyFont="1" applyBorder="1"/>
    <xf numFmtId="0" fontId="25" fillId="3" borderId="4" xfId="0" applyFont="1" applyFill="1" applyBorder="1" applyAlignment="1">
      <alignment horizontal="center"/>
    </xf>
    <xf numFmtId="0" fontId="25" fillId="0" borderId="11" xfId="0" applyFont="1" applyBorder="1"/>
    <xf numFmtId="0" fontId="25" fillId="3" borderId="2" xfId="0" applyFont="1" applyFill="1" applyBorder="1"/>
    <xf numFmtId="0" fontId="25" fillId="0" borderId="3" xfId="0" applyFont="1" applyBorder="1"/>
    <xf numFmtId="0" fontId="25" fillId="0" borderId="1" xfId="0" applyFont="1" applyBorder="1"/>
    <xf numFmtId="0" fontId="25" fillId="0" borderId="9" xfId="0" applyFont="1" applyBorder="1"/>
    <xf numFmtId="0" fontId="25" fillId="0" borderId="10" xfId="0" applyFont="1" applyBorder="1"/>
    <xf numFmtId="0" fontId="25" fillId="0" borderId="8" xfId="0" applyFont="1" applyBorder="1"/>
    <xf numFmtId="0" fontId="2" fillId="3" borderId="5" xfId="0" applyFont="1" applyFill="1" applyBorder="1"/>
    <xf numFmtId="0" fontId="33" fillId="3" borderId="52" xfId="0" applyFont="1" applyFill="1" applyBorder="1" applyAlignment="1">
      <alignment horizontal="left"/>
    </xf>
    <xf numFmtId="0" fontId="32" fillId="0" borderId="53" xfId="0" applyFont="1" applyBorder="1"/>
    <xf numFmtId="0" fontId="32" fillId="0" borderId="54" xfId="0" applyFont="1" applyBorder="1"/>
    <xf numFmtId="0" fontId="18" fillId="10" borderId="55" xfId="0" applyFont="1" applyFill="1" applyBorder="1" applyAlignment="1">
      <alignment horizontal="left"/>
    </xf>
    <xf numFmtId="0" fontId="35" fillId="8" borderId="56" xfId="0" applyFont="1" applyFill="1" applyBorder="1"/>
    <xf numFmtId="0" fontId="35" fillId="8" borderId="57" xfId="0" applyFont="1" applyFill="1" applyBorder="1"/>
    <xf numFmtId="0" fontId="4" fillId="3" borderId="5" xfId="0" applyFont="1" applyFill="1" applyBorder="1" applyAlignment="1">
      <alignment horizontal="left" vertical="center"/>
    </xf>
    <xf numFmtId="0" fontId="10" fillId="0" borderId="5" xfId="0" applyFont="1" applyBorder="1"/>
    <xf numFmtId="0" fontId="3" fillId="3" borderId="2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/>
    </xf>
    <xf numFmtId="0" fontId="15" fillId="0" borderId="6" xfId="0" applyFont="1" applyBorder="1"/>
    <xf numFmtId="0" fontId="15" fillId="0" borderId="7" xfId="0" applyFont="1" applyBorder="1"/>
    <xf numFmtId="0" fontId="18" fillId="10" borderId="24" xfId="0" applyFont="1" applyFill="1" applyBorder="1" applyAlignment="1">
      <alignment horizontal="left"/>
    </xf>
    <xf numFmtId="0" fontId="18" fillId="10" borderId="22" xfId="0" applyFont="1" applyFill="1" applyBorder="1" applyAlignment="1">
      <alignment horizontal="left"/>
    </xf>
    <xf numFmtId="0" fontId="18" fillId="10" borderId="18" xfId="0" applyFont="1" applyFill="1" applyBorder="1" applyAlignment="1">
      <alignment horizontal="left"/>
    </xf>
    <xf numFmtId="0" fontId="23" fillId="0" borderId="40" xfId="0" applyFont="1" applyBorder="1"/>
    <xf numFmtId="4" fontId="22" fillId="3" borderId="26" xfId="0" applyNumberFormat="1" applyFont="1" applyFill="1" applyBorder="1" applyAlignment="1">
      <alignment horizontal="center" vertical="center"/>
    </xf>
    <xf numFmtId="0" fontId="23" fillId="0" borderId="28" xfId="0" applyFont="1" applyBorder="1"/>
    <xf numFmtId="0" fontId="33" fillId="3" borderId="62" xfId="0" applyFont="1" applyFill="1" applyBorder="1" applyAlignment="1">
      <alignment horizontal="left" wrapText="1"/>
    </xf>
    <xf numFmtId="0" fontId="32" fillId="0" borderId="62" xfId="0" applyFont="1" applyBorder="1"/>
    <xf numFmtId="0" fontId="33" fillId="3" borderId="5" xfId="0" applyFont="1" applyFill="1" applyBorder="1"/>
    <xf numFmtId="0" fontId="3" fillId="3" borderId="29" xfId="0" applyFont="1" applyFill="1" applyBorder="1" applyAlignment="1">
      <alignment horizontal="left" vertical="top"/>
    </xf>
    <xf numFmtId="0" fontId="10" fillId="3" borderId="44" xfId="0" applyFont="1" applyFill="1" applyBorder="1" applyAlignment="1">
      <alignment vertical="center"/>
    </xf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5" fillId="0" borderId="50" xfId="0" applyFont="1" applyBorder="1"/>
    <xf numFmtId="0" fontId="5" fillId="0" borderId="51" xfId="0" applyFont="1" applyBorder="1"/>
    <xf numFmtId="0" fontId="37" fillId="3" borderId="5" xfId="0" applyFont="1" applyFill="1" applyBorder="1" applyAlignment="1">
      <alignment horizontal="left"/>
    </xf>
    <xf numFmtId="0" fontId="31" fillId="5" borderId="6" xfId="0" applyFont="1" applyFill="1" applyBorder="1"/>
    <xf numFmtId="0" fontId="31" fillId="5" borderId="7" xfId="0" applyFont="1" applyFill="1" applyBorder="1"/>
    <xf numFmtId="0" fontId="16" fillId="8" borderId="6" xfId="0" applyFont="1" applyFill="1" applyBorder="1"/>
    <xf numFmtId="0" fontId="16" fillId="8" borderId="7" xfId="0" applyFont="1" applyFill="1" applyBorder="1"/>
    <xf numFmtId="0" fontId="15" fillId="5" borderId="11" xfId="0" applyFont="1" applyFill="1" applyBorder="1"/>
    <xf numFmtId="0" fontId="15" fillId="5" borderId="3" xfId="0" applyFont="1" applyFill="1" applyBorder="1"/>
    <xf numFmtId="0" fontId="15" fillId="5" borderId="1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8" xfId="0" applyFont="1" applyFill="1" applyBorder="1"/>
    <xf numFmtId="4" fontId="25" fillId="3" borderId="4" xfId="0" applyNumberFormat="1" applyFont="1" applyFill="1" applyBorder="1" applyAlignment="1">
      <alignment horizontal="center"/>
    </xf>
    <xf numFmtId="4" fontId="17" fillId="3" borderId="4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left"/>
    </xf>
    <xf numFmtId="0" fontId="38" fillId="5" borderId="6" xfId="0" applyFont="1" applyFill="1" applyBorder="1"/>
    <xf numFmtId="0" fontId="38" fillId="5" borderId="7" xfId="0" applyFont="1" applyFill="1" applyBorder="1"/>
    <xf numFmtId="0" fontId="4" fillId="3" borderId="35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left" wrapText="1"/>
    </xf>
    <xf numFmtId="0" fontId="25" fillId="3" borderId="5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25" fillId="3" borderId="26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0" fillId="3" borderId="5" xfId="0" applyFont="1" applyFill="1" applyBorder="1"/>
    <xf numFmtId="0" fontId="26" fillId="3" borderId="4" xfId="0" applyFont="1" applyFill="1" applyBorder="1" applyAlignment="1">
      <alignment horizontal="center"/>
    </xf>
    <xf numFmtId="0" fontId="10" fillId="3" borderId="25" xfId="0" applyFont="1" applyFill="1" applyBorder="1" applyAlignment="1">
      <alignment wrapText="1"/>
    </xf>
    <xf numFmtId="0" fontId="5" fillId="0" borderId="27" xfId="0" applyFont="1" applyBorder="1"/>
    <xf numFmtId="4" fontId="33" fillId="3" borderId="5" xfId="0" applyNumberFormat="1" applyFont="1" applyFill="1" applyBorder="1" applyAlignment="1">
      <alignment horizontal="left"/>
    </xf>
    <xf numFmtId="0" fontId="20" fillId="9" borderId="5" xfId="0" applyFont="1" applyFill="1" applyBorder="1"/>
    <xf numFmtId="0" fontId="37" fillId="3" borderId="5" xfId="0" applyFont="1" applyFill="1" applyBorder="1"/>
    <xf numFmtId="0" fontId="3" fillId="3" borderId="29" xfId="0" applyFont="1" applyFill="1" applyBorder="1" applyAlignment="1">
      <alignment horizontal="left"/>
    </xf>
    <xf numFmtId="0" fontId="3" fillId="3" borderId="41" xfId="0" applyFont="1" applyFill="1" applyBorder="1" applyAlignment="1">
      <alignment horizontal="left"/>
    </xf>
    <xf numFmtId="0" fontId="5" fillId="0" borderId="42" xfId="0" applyFont="1" applyBorder="1"/>
    <xf numFmtId="0" fontId="5" fillId="0" borderId="43" xfId="0" applyFont="1" applyBorder="1"/>
    <xf numFmtId="4" fontId="17" fillId="3" borderId="26" xfId="0" applyNumberFormat="1" applyFont="1" applyFill="1" applyBorder="1" applyAlignment="1">
      <alignment horizontal="center"/>
    </xf>
    <xf numFmtId="0" fontId="25" fillId="3" borderId="62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25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/>
    <xf numFmtId="0" fontId="18" fillId="9" borderId="29" xfId="0" applyFont="1" applyFill="1" applyBorder="1" applyAlignment="1">
      <alignment horizontal="left"/>
    </xf>
    <xf numFmtId="0" fontId="24" fillId="8" borderId="30" xfId="0" applyFont="1" applyFill="1" applyBorder="1"/>
    <xf numFmtId="0" fontId="24" fillId="8" borderId="31" xfId="0" applyFont="1" applyFill="1" applyBorder="1"/>
    <xf numFmtId="4" fontId="15" fillId="3" borderId="12" xfId="0" applyNumberFormat="1" applyFont="1" applyFill="1" applyBorder="1" applyAlignment="1">
      <alignment horizontal="center"/>
    </xf>
    <xf numFmtId="4" fontId="21" fillId="3" borderId="62" xfId="0" applyNumberFormat="1" applyFont="1" applyFill="1" applyBorder="1" applyAlignment="1">
      <alignment horizontal="center" vertical="center" wrapText="1"/>
    </xf>
    <xf numFmtId="0" fontId="23" fillId="0" borderId="62" xfId="0" applyFont="1" applyBorder="1"/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1" fontId="29" fillId="5" borderId="5" xfId="0" applyNumberFormat="1" applyFont="1" applyFill="1" applyBorder="1" applyAlignment="1">
      <alignment horizontal="center"/>
    </xf>
    <xf numFmtId="0" fontId="21" fillId="3" borderId="62" xfId="0" applyFont="1" applyFill="1" applyBorder="1" applyAlignment="1">
      <alignment horizontal="center" vertical="center"/>
    </xf>
    <xf numFmtId="0" fontId="22" fillId="3" borderId="70" xfId="0" applyFont="1" applyFill="1" applyBorder="1" applyAlignment="1">
      <alignment horizontal="left"/>
    </xf>
    <xf numFmtId="0" fontId="22" fillId="3" borderId="71" xfId="0" applyFont="1" applyFill="1" applyBorder="1" applyAlignment="1">
      <alignment horizontal="left"/>
    </xf>
    <xf numFmtId="0" fontId="22" fillId="3" borderId="66" xfId="0" applyFont="1" applyFill="1" applyBorder="1" applyAlignment="1">
      <alignment horizontal="left"/>
    </xf>
    <xf numFmtId="0" fontId="22" fillId="3" borderId="72" xfId="0" applyFont="1" applyFill="1" applyBorder="1" applyAlignment="1">
      <alignment horizontal="left"/>
    </xf>
    <xf numFmtId="0" fontId="22" fillId="3" borderId="73" xfId="0" applyFont="1" applyFill="1" applyBorder="1" applyAlignment="1">
      <alignment horizontal="left"/>
    </xf>
    <xf numFmtId="0" fontId="22" fillId="3" borderId="74" xfId="0" applyFont="1" applyFill="1" applyBorder="1" applyAlignment="1">
      <alignment horizontal="left"/>
    </xf>
    <xf numFmtId="0" fontId="23" fillId="0" borderId="65" xfId="0" applyFont="1" applyBorder="1"/>
    <xf numFmtId="0" fontId="34" fillId="5" borderId="6" xfId="0" applyFont="1" applyFill="1" applyBorder="1"/>
    <xf numFmtId="0" fontId="34" fillId="5" borderId="7" xfId="0" applyFont="1" applyFill="1" applyBorder="1"/>
    <xf numFmtId="0" fontId="20" fillId="3" borderId="35" xfId="0" applyFont="1" applyFill="1" applyBorder="1" applyAlignment="1">
      <alignment horizontal="center"/>
    </xf>
    <xf numFmtId="0" fontId="15" fillId="5" borderId="36" xfId="0" applyFont="1" applyFill="1" applyBorder="1"/>
    <xf numFmtId="0" fontId="15" fillId="5" borderId="37" xfId="0" applyFont="1" applyFill="1" applyBorder="1"/>
    <xf numFmtId="0" fontId="17" fillId="3" borderId="41" xfId="0" applyFont="1" applyFill="1" applyBorder="1" applyAlignment="1">
      <alignment horizontal="left"/>
    </xf>
    <xf numFmtId="0" fontId="17" fillId="5" borderId="42" xfId="0" applyFont="1" applyFill="1" applyBorder="1"/>
    <xf numFmtId="0" fontId="17" fillId="5" borderId="43" xfId="0" applyFont="1" applyFill="1" applyBorder="1"/>
    <xf numFmtId="0" fontId="18" fillId="7" borderId="5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/>
    </xf>
    <xf numFmtId="0" fontId="25" fillId="5" borderId="11" xfId="0" applyFont="1" applyFill="1" applyBorder="1"/>
    <xf numFmtId="0" fontId="25" fillId="5" borderId="3" xfId="0" applyFont="1" applyFill="1" applyBorder="1"/>
    <xf numFmtId="0" fontId="25" fillId="5" borderId="1" xfId="0" applyFont="1" applyFill="1" applyBorder="1"/>
    <xf numFmtId="0" fontId="25" fillId="5" borderId="9" xfId="0" applyFont="1" applyFill="1" applyBorder="1"/>
    <xf numFmtId="0" fontId="25" fillId="5" borderId="10" xfId="0" applyFont="1" applyFill="1" applyBorder="1"/>
    <xf numFmtId="0" fontId="25" fillId="5" borderId="8" xfId="0" applyFont="1" applyFill="1" applyBorder="1"/>
    <xf numFmtId="0" fontId="25" fillId="3" borderId="5" xfId="0" applyFont="1" applyFill="1" applyBorder="1" applyAlignment="1">
      <alignment horizontal="left" vertical="center"/>
    </xf>
    <xf numFmtId="4" fontId="25" fillId="3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15" fillId="5" borderId="40" xfId="0" applyFont="1" applyFill="1" applyBorder="1"/>
    <xf numFmtId="0" fontId="25" fillId="3" borderId="2" xfId="0" applyFont="1" applyFill="1" applyBorder="1" applyAlignment="1">
      <alignment horizontal="left" vertical="center" wrapText="1"/>
    </xf>
    <xf numFmtId="4" fontId="25" fillId="3" borderId="26" xfId="0" applyNumberFormat="1" applyFont="1" applyFill="1" applyBorder="1" applyAlignment="1">
      <alignment horizontal="center" vertical="center"/>
    </xf>
    <xf numFmtId="0" fontId="15" fillId="5" borderId="28" xfId="0" applyFont="1" applyFill="1" applyBorder="1"/>
    <xf numFmtId="0" fontId="20" fillId="10" borderId="5" xfId="0" applyFont="1" applyFill="1" applyBorder="1" applyAlignment="1">
      <alignment horizontal="left"/>
    </xf>
    <xf numFmtId="0" fontId="25" fillId="3" borderId="5" xfId="0" applyFont="1" applyFill="1" applyBorder="1"/>
    <xf numFmtId="0" fontId="18" fillId="9" borderId="5" xfId="0" applyFont="1" applyFill="1" applyBorder="1" applyAlignment="1">
      <alignment horizontal="left" vertical="center"/>
    </xf>
    <xf numFmtId="0" fontId="10" fillId="3" borderId="29" xfId="0" applyFont="1" applyFill="1" applyBorder="1"/>
    <xf numFmtId="0" fontId="5" fillId="0" borderId="30" xfId="0" applyFont="1" applyBorder="1"/>
    <xf numFmtId="0" fontId="10" fillId="3" borderId="41" xfId="0" applyFont="1" applyFill="1" applyBorder="1" applyAlignment="1">
      <alignment horizontal="left"/>
    </xf>
    <xf numFmtId="4" fontId="17" fillId="3" borderId="26" xfId="0" applyNumberFormat="1" applyFont="1" applyFill="1" applyBorder="1" applyAlignment="1">
      <alignment horizontal="center" wrapText="1"/>
    </xf>
    <xf numFmtId="0" fontId="14" fillId="3" borderId="25" xfId="0" applyFont="1" applyFill="1" applyBorder="1"/>
    <xf numFmtId="4" fontId="21" fillId="3" borderId="4" xfId="0" applyNumberFormat="1" applyFont="1" applyFill="1" applyBorder="1" applyAlignment="1">
      <alignment horizontal="center" wrapText="1"/>
    </xf>
    <xf numFmtId="0" fontId="25" fillId="3" borderId="44" xfId="0" applyFont="1" applyFill="1" applyBorder="1" applyAlignment="1">
      <alignment horizontal="center"/>
    </xf>
    <xf numFmtId="0" fontId="23" fillId="0" borderId="48" xfId="0" applyFont="1" applyBorder="1"/>
    <xf numFmtId="0" fontId="10" fillId="3" borderId="45" xfId="0" applyFont="1" applyFill="1" applyBorder="1"/>
    <xf numFmtId="0" fontId="5" fillId="0" borderId="49" xfId="0" applyFont="1" applyBorder="1"/>
    <xf numFmtId="0" fontId="33" fillId="3" borderId="5" xfId="0" applyFont="1" applyFill="1" applyBorder="1" applyAlignment="1">
      <alignment horizontal="left" vertical="center"/>
    </xf>
    <xf numFmtId="0" fontId="33" fillId="9" borderId="5" xfId="0" applyFont="1" applyFill="1" applyBorder="1" applyAlignment="1">
      <alignment horizontal="left"/>
    </xf>
    <xf numFmtId="0" fontId="34" fillId="8" borderId="6" xfId="0" applyFont="1" applyFill="1" applyBorder="1"/>
    <xf numFmtId="0" fontId="34" fillId="8" borderId="7" xfId="0" applyFont="1" applyFill="1" applyBorder="1"/>
    <xf numFmtId="0" fontId="18" fillId="3" borderId="29" xfId="0" applyFont="1" applyFill="1" applyBorder="1" applyAlignment="1">
      <alignment horizontal="left"/>
    </xf>
    <xf numFmtId="0" fontId="24" fillId="0" borderId="60" xfId="0" applyFont="1" applyBorder="1"/>
    <xf numFmtId="0" fontId="24" fillId="0" borderId="31" xfId="0" applyFont="1" applyBorder="1"/>
    <xf numFmtId="0" fontId="18" fillId="3" borderId="62" xfId="0" applyFont="1" applyFill="1" applyBorder="1" applyAlignment="1">
      <alignment horizontal="left"/>
    </xf>
    <xf numFmtId="0" fontId="24" fillId="0" borderId="62" xfId="0" applyFont="1" applyBorder="1"/>
    <xf numFmtId="0" fontId="18" fillId="3" borderId="4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36" fillId="0" borderId="3" xfId="0" applyFont="1" applyBorder="1"/>
    <xf numFmtId="0" fontId="36" fillId="0" borderId="1" xfId="0" applyFont="1" applyBorder="1"/>
    <xf numFmtId="0" fontId="36" fillId="0" borderId="9" xfId="0" applyFont="1" applyBorder="1"/>
    <xf numFmtId="0" fontId="36" fillId="0" borderId="10" xfId="0" applyFont="1" applyBorder="1"/>
    <xf numFmtId="0" fontId="36" fillId="0" borderId="8" xfId="0" applyFont="1" applyBorder="1"/>
    <xf numFmtId="4" fontId="21" fillId="3" borderId="4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4" fontId="21" fillId="3" borderId="20" xfId="0" applyNumberFormat="1" applyFont="1" applyFill="1" applyBorder="1" applyAlignment="1">
      <alignment horizontal="center"/>
    </xf>
    <xf numFmtId="4" fontId="21" fillId="3" borderId="17" xfId="0" applyNumberFormat="1" applyFont="1" applyFill="1" applyBorder="1" applyAlignment="1">
      <alignment horizontal="center"/>
    </xf>
    <xf numFmtId="4" fontId="22" fillId="3" borderId="20" xfId="0" applyNumberFormat="1" applyFont="1" applyFill="1" applyBorder="1" applyAlignment="1">
      <alignment horizontal="center"/>
    </xf>
    <xf numFmtId="4" fontId="22" fillId="3" borderId="1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21" fillId="3" borderId="20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4" fontId="17" fillId="3" borderId="20" xfId="0" applyNumberFormat="1" applyFont="1" applyFill="1" applyBorder="1" applyAlignment="1">
      <alignment horizontal="center" vertical="center"/>
    </xf>
    <xf numFmtId="4" fontId="17" fillId="3" borderId="17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" fontId="21" fillId="3" borderId="20" xfId="0" applyNumberFormat="1" applyFont="1" applyFill="1" applyBorder="1" applyAlignment="1">
      <alignment horizontal="center" vertical="center"/>
    </xf>
    <xf numFmtId="1" fontId="21" fillId="3" borderId="17" xfId="0" applyNumberFormat="1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left" wrapText="1"/>
    </xf>
    <xf numFmtId="0" fontId="25" fillId="3" borderId="60" xfId="0" applyFont="1" applyFill="1" applyBorder="1" applyAlignment="1">
      <alignment horizontal="left" wrapText="1"/>
    </xf>
    <xf numFmtId="0" fontId="25" fillId="3" borderId="31" xfId="0" applyFont="1" applyFill="1" applyBorder="1" applyAlignment="1">
      <alignment horizontal="left" wrapText="1"/>
    </xf>
    <xf numFmtId="0" fontId="25" fillId="3" borderId="41" xfId="0" applyFont="1" applyFill="1" applyBorder="1" applyAlignment="1">
      <alignment horizontal="left" wrapText="1"/>
    </xf>
    <xf numFmtId="0" fontId="25" fillId="3" borderId="42" xfId="0" applyFont="1" applyFill="1" applyBorder="1" applyAlignment="1">
      <alignment horizontal="left" wrapText="1"/>
    </xf>
    <xf numFmtId="0" fontId="25" fillId="3" borderId="43" xfId="0" applyFont="1" applyFill="1" applyBorder="1" applyAlignment="1">
      <alignment horizontal="left" wrapText="1"/>
    </xf>
    <xf numFmtId="0" fontId="42" fillId="0" borderId="4" xfId="0" applyFont="1" applyBorder="1" applyAlignment="1">
      <alignment horizontal="center" vertical="center"/>
    </xf>
    <xf numFmtId="0" fontId="43" fillId="0" borderId="11" xfId="0" applyFont="1" applyBorder="1"/>
    <xf numFmtId="0" fontId="42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9" xfId="0" applyFont="1" applyBorder="1" applyAlignment="1">
      <alignment wrapText="1"/>
    </xf>
    <xf numFmtId="0" fontId="43" fillId="0" borderId="10" xfId="0" applyFont="1" applyBorder="1" applyAlignment="1">
      <alignment wrapText="1"/>
    </xf>
    <xf numFmtId="0" fontId="43" fillId="0" borderId="8" xfId="0" applyFont="1" applyBorder="1" applyAlignment="1">
      <alignment wrapText="1"/>
    </xf>
    <xf numFmtId="0" fontId="42" fillId="3" borderId="5" xfId="0" applyFont="1" applyFill="1" applyBorder="1" applyAlignment="1">
      <alignment horizontal="center" vertical="center"/>
    </xf>
    <xf numFmtId="0" fontId="43" fillId="0" borderId="6" xfId="0" applyFont="1" applyBorder="1"/>
    <xf numFmtId="0" fontId="43" fillId="0" borderId="7" xfId="0" applyFont="1" applyBorder="1"/>
    <xf numFmtId="0" fontId="46" fillId="3" borderId="4" xfId="0" applyFont="1" applyFill="1" applyBorder="1" applyAlignment="1">
      <alignment horizontal="center" vertical="center" wrapText="1"/>
    </xf>
    <xf numFmtId="0" fontId="47" fillId="0" borderId="11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44" fillId="3" borderId="4" xfId="0" applyFont="1" applyFill="1" applyBorder="1" applyAlignment="1">
      <alignment horizontal="center" vertical="center" wrapText="1"/>
    </xf>
    <xf numFmtId="0" fontId="45" fillId="0" borderId="11" xfId="0" applyFont="1" applyBorder="1"/>
    <xf numFmtId="0" fontId="10" fillId="3" borderId="82" xfId="0" applyFont="1" applyFill="1" applyBorder="1" applyAlignment="1">
      <alignment horizontal="left"/>
    </xf>
    <xf numFmtId="0" fontId="5" fillId="0" borderId="83" xfId="0" applyFont="1" applyBorder="1"/>
    <xf numFmtId="0" fontId="5" fillId="0" borderId="84" xfId="0" applyFont="1" applyBorder="1"/>
    <xf numFmtId="0" fontId="4" fillId="0" borderId="35" xfId="0" applyFont="1" applyFill="1" applyBorder="1" applyAlignment="1">
      <alignment horizontal="center"/>
    </xf>
    <xf numFmtId="0" fontId="5" fillId="0" borderId="36" xfId="0" applyFont="1" applyFill="1" applyBorder="1"/>
    <xf numFmtId="0" fontId="5" fillId="0" borderId="37" xfId="0" applyFont="1" applyFill="1" applyBorder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4" fillId="0" borderId="3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7" xfId="0" applyFont="1" applyFill="1" applyBorder="1"/>
    <xf numFmtId="0" fontId="20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15" fillId="5" borderId="9" xfId="0" applyFont="1" applyFill="1" applyBorder="1" applyAlignment="1">
      <alignment wrapText="1"/>
    </xf>
    <xf numFmtId="0" fontId="15" fillId="5" borderId="10" xfId="0" applyFont="1" applyFill="1" applyBorder="1" applyAlignment="1">
      <alignment wrapText="1"/>
    </xf>
    <xf numFmtId="0" fontId="15" fillId="5" borderId="8" xfId="0" applyFont="1" applyFill="1" applyBorder="1" applyAlignment="1">
      <alignment wrapText="1"/>
    </xf>
    <xf numFmtId="0" fontId="20" fillId="0" borderId="35" xfId="0" applyFont="1" applyFill="1" applyBorder="1" applyAlignment="1">
      <alignment horizontal="center"/>
    </xf>
    <xf numFmtId="0" fontId="15" fillId="0" borderId="36" xfId="0" applyFont="1" applyFill="1" applyBorder="1"/>
    <xf numFmtId="0" fontId="15" fillId="0" borderId="37" xfId="0" applyFont="1" applyFill="1" applyBorder="1"/>
    <xf numFmtId="0" fontId="18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3" borderId="20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 wrapText="1"/>
    </xf>
    <xf numFmtId="0" fontId="0" fillId="0" borderId="6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41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43" xfId="0" applyFont="1" applyBorder="1" applyAlignment="1">
      <alignment wrapText="1"/>
    </xf>
    <xf numFmtId="4" fontId="22" fillId="3" borderId="80" xfId="0" applyNumberFormat="1" applyFont="1" applyFill="1" applyBorder="1" applyAlignment="1">
      <alignment horizontal="center" vertical="center"/>
    </xf>
    <xf numFmtId="4" fontId="22" fillId="3" borderId="17" xfId="0" applyNumberFormat="1" applyFont="1" applyFill="1" applyBorder="1" applyAlignment="1">
      <alignment horizontal="center" vertical="center"/>
    </xf>
    <xf numFmtId="2" fontId="21" fillId="3" borderId="20" xfId="0" applyNumberFormat="1" applyFont="1" applyFill="1" applyBorder="1" applyAlignment="1">
      <alignment horizontal="center" vertical="center"/>
    </xf>
    <xf numFmtId="0" fontId="23" fillId="0" borderId="61" xfId="0" applyFont="1" applyBorder="1"/>
    <xf numFmtId="0" fontId="33" fillId="3" borderId="75" xfId="0" applyFont="1" applyFill="1" applyBorder="1"/>
    <xf numFmtId="0" fontId="32" fillId="0" borderId="76" xfId="0" applyFont="1" applyBorder="1"/>
    <xf numFmtId="0" fontId="32" fillId="0" borderId="77" xfId="0" applyFont="1" applyBorder="1"/>
    <xf numFmtId="0" fontId="39" fillId="0" borderId="6" xfId="0" applyFont="1" applyBorder="1"/>
    <xf numFmtId="0" fontId="39" fillId="0" borderId="7" xfId="0" applyFont="1" applyBorder="1"/>
    <xf numFmtId="0" fontId="22" fillId="0" borderId="5" xfId="0" applyFont="1" applyFill="1" applyBorder="1" applyAlignment="1">
      <alignment horizontal="left"/>
    </xf>
    <xf numFmtId="2" fontId="21" fillId="3" borderId="17" xfId="0" applyNumberFormat="1" applyFont="1" applyFill="1" applyBorder="1" applyAlignment="1">
      <alignment horizontal="center" vertical="center"/>
    </xf>
    <xf numFmtId="2" fontId="25" fillId="3" borderId="20" xfId="0" applyNumberFormat="1" applyFont="1" applyFill="1" applyBorder="1" applyAlignment="1">
      <alignment vertical="center"/>
    </xf>
    <xf numFmtId="2" fontId="25" fillId="3" borderId="17" xfId="0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horizontal="left" vertical="center" wrapText="1"/>
    </xf>
    <xf numFmtId="2" fontId="25" fillId="3" borderId="60" xfId="0" applyNumberFormat="1" applyFont="1" applyFill="1" applyBorder="1" applyAlignment="1">
      <alignment vertical="center"/>
    </xf>
    <xf numFmtId="0" fontId="23" fillId="0" borderId="73" xfId="0" applyFont="1" applyBorder="1"/>
    <xf numFmtId="0" fontId="33" fillId="3" borderId="75" xfId="0" applyFont="1" applyFill="1" applyBorder="1" applyAlignment="1">
      <alignment horizontal="left"/>
    </xf>
    <xf numFmtId="0" fontId="33" fillId="3" borderId="76" xfId="0" applyFont="1" applyFill="1" applyBorder="1" applyAlignment="1">
      <alignment horizontal="left"/>
    </xf>
    <xf numFmtId="0" fontId="33" fillId="3" borderId="77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 wrapText="1"/>
    </xf>
    <xf numFmtId="0" fontId="25" fillId="5" borderId="3" xfId="0" applyFont="1" applyFill="1" applyBorder="1" applyAlignment="1">
      <alignment wrapText="1"/>
    </xf>
    <xf numFmtId="0" fontId="25" fillId="5" borderId="1" xfId="0" applyFont="1" applyFill="1" applyBorder="1" applyAlignment="1">
      <alignment wrapText="1"/>
    </xf>
    <xf numFmtId="0" fontId="25" fillId="5" borderId="9" xfId="0" applyFont="1" applyFill="1" applyBorder="1" applyAlignment="1">
      <alignment wrapText="1"/>
    </xf>
    <xf numFmtId="0" fontId="25" fillId="5" borderId="10" xfId="0" applyFont="1" applyFill="1" applyBorder="1" applyAlignment="1">
      <alignment wrapText="1"/>
    </xf>
    <xf numFmtId="0" fontId="25" fillId="5" borderId="8" xfId="0" applyFont="1" applyFill="1" applyBorder="1" applyAlignment="1">
      <alignment wrapText="1"/>
    </xf>
    <xf numFmtId="0" fontId="18" fillId="0" borderId="2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33" fillId="3" borderId="29" xfId="0" applyFont="1" applyFill="1" applyBorder="1"/>
    <xf numFmtId="0" fontId="32" fillId="0" borderId="60" xfId="0" applyFont="1" applyBorder="1"/>
    <xf numFmtId="0" fontId="32" fillId="0" borderId="31" xfId="0" applyFont="1" applyBorder="1"/>
    <xf numFmtId="0" fontId="33" fillId="3" borderId="62" xfId="0" applyFont="1" applyFill="1" applyBorder="1" applyAlignment="1">
      <alignment horizontal="left"/>
    </xf>
    <xf numFmtId="0" fontId="40" fillId="3" borderId="20" xfId="0" applyFont="1" applyFill="1" applyBorder="1" applyAlignment="1">
      <alignment horizontal="center"/>
    </xf>
    <xf numFmtId="0" fontId="40" fillId="3" borderId="17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left" wrapText="1"/>
    </xf>
    <xf numFmtId="0" fontId="3" fillId="3" borderId="31" xfId="0" applyFont="1" applyFill="1" applyBorder="1" applyAlignment="1">
      <alignment horizontal="left" wrapText="1"/>
    </xf>
    <xf numFmtId="0" fontId="3" fillId="3" borderId="41" xfId="0" applyFont="1" applyFill="1" applyBorder="1" applyAlignment="1">
      <alignment horizontal="left" wrapText="1"/>
    </xf>
    <xf numFmtId="0" fontId="3" fillId="3" borderId="42" xfId="0" applyFont="1" applyFill="1" applyBorder="1" applyAlignment="1">
      <alignment horizontal="left" wrapText="1"/>
    </xf>
    <xf numFmtId="0" fontId="3" fillId="3" borderId="43" xfId="0" applyFont="1" applyFill="1" applyBorder="1" applyAlignment="1">
      <alignment horizontal="left" wrapText="1"/>
    </xf>
  </cellXfs>
  <cellStyles count="1">
    <cellStyle name="Обычный" xfId="0" builtinId="0"/>
  </cellStyles>
  <dxfs count="2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53"/>
  <sheetViews>
    <sheetView topLeftCell="A605" zoomScale="60" zoomScaleNormal="60" workbookViewId="0">
      <selection activeCell="AA629" sqref="AA629"/>
    </sheetView>
  </sheetViews>
  <sheetFormatPr defaultColWidth="14.42578125" defaultRowHeight="15" customHeight="1" x14ac:dyDescent="0.25"/>
  <cols>
    <col min="1" max="2" width="9.140625" customWidth="1"/>
    <col min="3" max="3" width="10.28515625" customWidth="1"/>
    <col min="4" max="4" width="31.140625" customWidth="1"/>
    <col min="5" max="5" width="13.140625" customWidth="1"/>
    <col min="6" max="6" width="10.7109375" customWidth="1"/>
    <col min="7" max="7" width="10.5703125" customWidth="1"/>
    <col min="8" max="8" width="9.7109375" customWidth="1"/>
    <col min="9" max="9" width="16.7109375" customWidth="1"/>
    <col min="10" max="10" width="9.28515625" customWidth="1"/>
    <col min="11" max="11" width="10" customWidth="1"/>
    <col min="12" max="12" width="8" customWidth="1"/>
    <col min="13" max="13" width="7.85546875" customWidth="1"/>
    <col min="14" max="14" width="14.140625" customWidth="1"/>
    <col min="15" max="15" width="11" customWidth="1"/>
    <col min="16" max="16" width="10.28515625" customWidth="1"/>
    <col min="17" max="17" width="9.140625" customWidth="1"/>
    <col min="18" max="18" width="4.42578125" customWidth="1"/>
    <col min="19" max="19" width="9.140625" customWidth="1"/>
  </cols>
  <sheetData>
    <row r="1" spans="1:19" ht="18" customHeight="1" x14ac:dyDescent="0.25">
      <c r="A1" s="4"/>
      <c r="B1" s="4"/>
      <c r="C1" s="4"/>
      <c r="D1" s="651" t="s">
        <v>0</v>
      </c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4"/>
      <c r="Q1" s="4"/>
      <c r="R1" s="4"/>
      <c r="S1" s="1"/>
    </row>
    <row r="2" spans="1:19" ht="18.75" customHeight="1" x14ac:dyDescent="0.25">
      <c r="A2" s="4"/>
      <c r="B2" s="4"/>
      <c r="C2" s="4"/>
      <c r="D2" s="319"/>
      <c r="E2" s="319"/>
      <c r="F2" s="655" t="s">
        <v>1</v>
      </c>
      <c r="G2" s="655"/>
      <c r="H2" s="655"/>
      <c r="I2" s="655"/>
      <c r="J2" s="655"/>
      <c r="K2" s="655"/>
      <c r="L2" s="655"/>
      <c r="M2" s="319"/>
      <c r="N2" s="319"/>
      <c r="O2" s="319"/>
      <c r="P2" s="4"/>
      <c r="Q2" s="4"/>
      <c r="R2" s="4"/>
      <c r="S2" s="1"/>
    </row>
    <row r="3" spans="1:19" ht="18" customHeight="1" x14ac:dyDescent="0.25">
      <c r="A3" s="653" t="s">
        <v>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1"/>
    </row>
    <row r="4" spans="1:19" ht="15.75" customHeight="1" x14ac:dyDescent="0.25">
      <c r="A4" s="634" t="s">
        <v>3</v>
      </c>
      <c r="B4" s="528" t="s">
        <v>4</v>
      </c>
      <c r="C4" s="476"/>
      <c r="D4" s="477"/>
      <c r="E4" s="654" t="s">
        <v>5</v>
      </c>
      <c r="F4" s="650" t="s">
        <v>6</v>
      </c>
      <c r="G4" s="440"/>
      <c r="H4" s="441"/>
      <c r="I4" s="654" t="s">
        <v>7</v>
      </c>
      <c r="J4" s="650" t="s">
        <v>8</v>
      </c>
      <c r="K4" s="440"/>
      <c r="L4" s="440"/>
      <c r="M4" s="441"/>
      <c r="N4" s="650" t="s">
        <v>9</v>
      </c>
      <c r="O4" s="440"/>
      <c r="P4" s="440"/>
      <c r="Q4" s="441"/>
      <c r="R4" s="1"/>
      <c r="S4" s="1"/>
    </row>
    <row r="5" spans="1:19" ht="25.5" customHeight="1" x14ac:dyDescent="0.25">
      <c r="A5" s="480"/>
      <c r="B5" s="478"/>
      <c r="C5" s="479"/>
      <c r="D5" s="480"/>
      <c r="E5" s="527"/>
      <c r="F5" s="5" t="s">
        <v>10</v>
      </c>
      <c r="G5" s="5" t="s">
        <v>11</v>
      </c>
      <c r="H5" s="5" t="s">
        <v>12</v>
      </c>
      <c r="I5" s="527"/>
      <c r="J5" s="6" t="s">
        <v>13</v>
      </c>
      <c r="K5" s="6" t="s">
        <v>14</v>
      </c>
      <c r="L5" s="6" t="s">
        <v>15</v>
      </c>
      <c r="M5" s="7" t="s">
        <v>16</v>
      </c>
      <c r="N5" s="8" t="s">
        <v>17</v>
      </c>
      <c r="O5" s="6" t="s">
        <v>18</v>
      </c>
      <c r="P5" s="6" t="s">
        <v>19</v>
      </c>
      <c r="Q5" s="7" t="s">
        <v>20</v>
      </c>
      <c r="R5" s="1"/>
      <c r="S5" s="1"/>
    </row>
    <row r="6" spans="1:19" ht="13.5" customHeight="1" x14ac:dyDescent="0.25">
      <c r="A6" s="9">
        <v>1</v>
      </c>
      <c r="B6" s="532">
        <v>2</v>
      </c>
      <c r="C6" s="440"/>
      <c r="D6" s="441"/>
      <c r="E6" s="11">
        <v>3</v>
      </c>
      <c r="F6" s="9">
        <v>4</v>
      </c>
      <c r="G6" s="9">
        <v>5</v>
      </c>
      <c r="H6" s="9">
        <v>6</v>
      </c>
      <c r="I6" s="10">
        <v>7</v>
      </c>
      <c r="J6" s="9">
        <v>8</v>
      </c>
      <c r="K6" s="9">
        <v>9</v>
      </c>
      <c r="L6" s="9">
        <v>10</v>
      </c>
      <c r="M6" s="12">
        <v>11</v>
      </c>
      <c r="N6" s="9">
        <v>12</v>
      </c>
      <c r="O6" s="9">
        <v>13</v>
      </c>
      <c r="P6" s="9">
        <v>14</v>
      </c>
      <c r="Q6" s="13">
        <v>15</v>
      </c>
      <c r="R6" s="1"/>
      <c r="S6" s="1"/>
    </row>
    <row r="7" spans="1:19" ht="15.75" customHeight="1" x14ac:dyDescent="0.25">
      <c r="A7" s="14"/>
      <c r="B7" s="522" t="s">
        <v>21</v>
      </c>
      <c r="C7" s="446"/>
      <c r="D7" s="447"/>
      <c r="E7" s="99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"/>
      <c r="S7" s="1"/>
    </row>
    <row r="8" spans="1:19" ht="16.5" customHeight="1" x14ac:dyDescent="0.25">
      <c r="A8" s="115">
        <v>3</v>
      </c>
      <c r="B8" s="439" t="s">
        <v>22</v>
      </c>
      <c r="C8" s="440"/>
      <c r="D8" s="441"/>
      <c r="E8" s="128" t="s">
        <v>23</v>
      </c>
      <c r="F8" s="129">
        <v>5.7</v>
      </c>
      <c r="G8" s="129">
        <v>8.33</v>
      </c>
      <c r="H8" s="129">
        <v>14.95</v>
      </c>
      <c r="I8" s="129">
        <v>157.85</v>
      </c>
      <c r="J8" s="129">
        <v>0.04</v>
      </c>
      <c r="K8" s="129">
        <v>0.11</v>
      </c>
      <c r="L8" s="129">
        <v>0.03</v>
      </c>
      <c r="M8" s="129">
        <v>0.11</v>
      </c>
      <c r="N8" s="129">
        <v>141.19999999999999</v>
      </c>
      <c r="O8" s="129">
        <v>9.4499999999999993</v>
      </c>
      <c r="P8" s="129">
        <v>15.9</v>
      </c>
      <c r="Q8" s="129">
        <v>0.64</v>
      </c>
      <c r="R8" s="17"/>
      <c r="S8" s="17"/>
    </row>
    <row r="9" spans="1:19" ht="18.75" customHeight="1" x14ac:dyDescent="0.25">
      <c r="A9" s="546">
        <v>174</v>
      </c>
      <c r="B9" s="542" t="s">
        <v>24</v>
      </c>
      <c r="C9" s="476"/>
      <c r="D9" s="477"/>
      <c r="E9" s="128">
        <v>250</v>
      </c>
      <c r="F9" s="572">
        <f>6.11*E9/200</f>
        <v>7.6375000000000002</v>
      </c>
      <c r="G9" s="572">
        <v>13.42</v>
      </c>
      <c r="H9" s="572">
        <v>40.549999999999997</v>
      </c>
      <c r="I9" s="572">
        <v>314.33999999999997</v>
      </c>
      <c r="J9" s="572">
        <v>0</v>
      </c>
      <c r="K9" s="572">
        <f>1.17*E9/200</f>
        <v>1.4624999999999999</v>
      </c>
      <c r="L9" s="572">
        <v>0</v>
      </c>
      <c r="M9" s="572">
        <v>0</v>
      </c>
      <c r="N9" s="572">
        <f>133.77*E9/200</f>
        <v>167.21250000000001</v>
      </c>
      <c r="O9" s="572">
        <v>0</v>
      </c>
      <c r="P9" s="572">
        <f>20.3*E9/200</f>
        <v>25.375</v>
      </c>
      <c r="Q9" s="572">
        <v>0.47</v>
      </c>
      <c r="R9" s="18"/>
      <c r="S9" s="18"/>
    </row>
    <row r="10" spans="1:19" ht="15.75" hidden="1" customHeight="1" x14ac:dyDescent="0.25">
      <c r="A10" s="573"/>
      <c r="B10" s="574"/>
      <c r="C10" s="575"/>
      <c r="D10" s="576"/>
      <c r="E10" s="99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17"/>
      <c r="S10" s="17"/>
    </row>
    <row r="11" spans="1:19" ht="15" customHeight="1" x14ac:dyDescent="0.25">
      <c r="A11" s="471"/>
      <c r="B11" s="478"/>
      <c r="C11" s="479"/>
      <c r="D11" s="480"/>
      <c r="E11" s="169">
        <f>E9*4/100</f>
        <v>10</v>
      </c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19"/>
      <c r="S11" s="17"/>
    </row>
    <row r="12" spans="1:19" ht="15.75" customHeight="1" x14ac:dyDescent="0.25">
      <c r="A12" s="102">
        <v>209</v>
      </c>
      <c r="B12" s="571" t="s">
        <v>25</v>
      </c>
      <c r="C12" s="440"/>
      <c r="D12" s="441"/>
      <c r="E12" s="170">
        <v>40</v>
      </c>
      <c r="F12" s="170">
        <v>7.62</v>
      </c>
      <c r="G12" s="170">
        <v>6.9</v>
      </c>
      <c r="H12" s="170">
        <v>0.42</v>
      </c>
      <c r="I12" s="170">
        <v>94</v>
      </c>
      <c r="J12" s="170">
        <v>0.01</v>
      </c>
      <c r="K12" s="170">
        <v>0</v>
      </c>
      <c r="L12" s="170">
        <v>0</v>
      </c>
      <c r="M12" s="170">
        <v>0</v>
      </c>
      <c r="N12" s="170">
        <v>33</v>
      </c>
      <c r="O12" s="170">
        <v>115.2</v>
      </c>
      <c r="P12" s="170">
        <v>7.2</v>
      </c>
      <c r="Q12" s="170">
        <v>1.5</v>
      </c>
      <c r="R12" s="19"/>
      <c r="S12" s="17"/>
    </row>
    <row r="13" spans="1:19" ht="16.5" customHeight="1" x14ac:dyDescent="0.25">
      <c r="A13" s="116">
        <v>379</v>
      </c>
      <c r="B13" s="637" t="s">
        <v>26</v>
      </c>
      <c r="C13" s="440"/>
      <c r="D13" s="441"/>
      <c r="E13" s="171">
        <v>200</v>
      </c>
      <c r="F13" s="172">
        <v>3.58</v>
      </c>
      <c r="G13" s="172">
        <v>2.68</v>
      </c>
      <c r="H13" s="172">
        <v>23.34</v>
      </c>
      <c r="I13" s="172">
        <v>151.80000000000001</v>
      </c>
      <c r="J13" s="172">
        <v>0.02</v>
      </c>
      <c r="K13" s="172">
        <v>1.3</v>
      </c>
      <c r="L13" s="172">
        <v>0</v>
      </c>
      <c r="M13" s="172">
        <v>0</v>
      </c>
      <c r="N13" s="172">
        <v>125.78</v>
      </c>
      <c r="O13" s="172">
        <v>14</v>
      </c>
      <c r="P13" s="172">
        <v>14</v>
      </c>
      <c r="Q13" s="172">
        <v>0.13</v>
      </c>
      <c r="R13" s="21"/>
      <c r="S13" s="21"/>
    </row>
    <row r="14" spans="1:19" ht="16.5" customHeight="1" x14ac:dyDescent="0.25">
      <c r="A14" s="116" t="s">
        <v>27</v>
      </c>
      <c r="B14" s="448" t="s">
        <v>28</v>
      </c>
      <c r="C14" s="440"/>
      <c r="D14" s="441"/>
      <c r="E14" s="99">
        <v>45</v>
      </c>
      <c r="F14" s="117">
        <f>2.26*E14/30</f>
        <v>3.3899999999999997</v>
      </c>
      <c r="G14" s="117">
        <f>0.23*E14/30</f>
        <v>0.34499999999999997</v>
      </c>
      <c r="H14" s="117">
        <f>14.66*E14/30</f>
        <v>21.990000000000002</v>
      </c>
      <c r="I14" s="117">
        <f>68.86*E14/30</f>
        <v>103.28999999999999</v>
      </c>
      <c r="J14" s="117">
        <v>0</v>
      </c>
      <c r="K14" s="117">
        <v>0</v>
      </c>
      <c r="L14" s="117">
        <v>0</v>
      </c>
      <c r="M14" s="117">
        <v>0</v>
      </c>
      <c r="N14" s="117">
        <f>12.97*E14/30</f>
        <v>19.454999999999998</v>
      </c>
      <c r="O14" s="117">
        <v>0</v>
      </c>
      <c r="P14" s="117">
        <f>2.83*E14/30</f>
        <v>4.2450000000000001</v>
      </c>
      <c r="Q14" s="117">
        <f>0.74*E14/30</f>
        <v>1.1099999999999999</v>
      </c>
      <c r="R14" s="21"/>
      <c r="S14" s="21"/>
    </row>
    <row r="15" spans="1:19" ht="15.75" customHeight="1" x14ac:dyDescent="0.25">
      <c r="A15" s="117"/>
      <c r="B15" s="641" t="s">
        <v>29</v>
      </c>
      <c r="C15" s="472"/>
      <c r="D15" s="473"/>
      <c r="E15" s="173">
        <f>SUM(E9:E14)+5+15+30</f>
        <v>595</v>
      </c>
      <c r="F15" s="117">
        <f t="shared" ref="F15:Q15" si="0">SUM(F8:F14)</f>
        <v>27.927500000000002</v>
      </c>
      <c r="G15" s="117">
        <f t="shared" si="0"/>
        <v>31.674999999999997</v>
      </c>
      <c r="H15" s="117">
        <f t="shared" si="0"/>
        <v>101.25</v>
      </c>
      <c r="I15" s="117">
        <f t="shared" si="0"/>
        <v>821.28</v>
      </c>
      <c r="J15" s="117">
        <f t="shared" si="0"/>
        <v>7.0000000000000007E-2</v>
      </c>
      <c r="K15" s="117">
        <f t="shared" si="0"/>
        <v>2.8725000000000001</v>
      </c>
      <c r="L15" s="117">
        <f t="shared" si="0"/>
        <v>0.03</v>
      </c>
      <c r="M15" s="117">
        <f t="shared" si="0"/>
        <v>0.11</v>
      </c>
      <c r="N15" s="117">
        <f t="shared" si="0"/>
        <v>486.64749999999998</v>
      </c>
      <c r="O15" s="117">
        <f t="shared" si="0"/>
        <v>138.65</v>
      </c>
      <c r="P15" s="117">
        <f t="shared" si="0"/>
        <v>66.72</v>
      </c>
      <c r="Q15" s="117">
        <f t="shared" si="0"/>
        <v>3.8499999999999996</v>
      </c>
      <c r="R15" s="23"/>
      <c r="S15" s="23"/>
    </row>
    <row r="16" spans="1:19" ht="15.75" customHeight="1" x14ac:dyDescent="0.25">
      <c r="A16" s="118"/>
      <c r="B16" s="642" t="s">
        <v>30</v>
      </c>
      <c r="C16" s="446"/>
      <c r="D16" s="447"/>
      <c r="E16" s="17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3"/>
      <c r="S16" s="3"/>
    </row>
    <row r="17" spans="1:34" s="321" customFormat="1" ht="15.75" customHeight="1" x14ac:dyDescent="0.25">
      <c r="A17" s="328"/>
      <c r="B17" s="331"/>
      <c r="C17" s="332"/>
      <c r="D17" s="333"/>
      <c r="E17" s="329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"/>
      <c r="S17" s="3"/>
    </row>
    <row r="18" spans="1:34" ht="15.75" customHeight="1" x14ac:dyDescent="0.25">
      <c r="A18" s="119">
        <v>338</v>
      </c>
      <c r="B18" s="637" t="s">
        <v>31</v>
      </c>
      <c r="C18" s="440"/>
      <c r="D18" s="441"/>
      <c r="E18" s="176">
        <v>300</v>
      </c>
      <c r="F18" s="177">
        <f>1.2*E18/300</f>
        <v>1.2</v>
      </c>
      <c r="G18" s="178">
        <f>1.2*E18/300</f>
        <v>1.2</v>
      </c>
      <c r="H18" s="177">
        <f>29.4*E18/300</f>
        <v>29.4</v>
      </c>
      <c r="I18" s="177">
        <f>132*E18/300</f>
        <v>132</v>
      </c>
      <c r="J18" s="177">
        <v>0</v>
      </c>
      <c r="K18" s="177">
        <f>30*E18/300</f>
        <v>30</v>
      </c>
      <c r="L18" s="177">
        <v>0</v>
      </c>
      <c r="M18" s="177">
        <v>0</v>
      </c>
      <c r="N18" s="177">
        <f>48*E18/300</f>
        <v>48</v>
      </c>
      <c r="O18" s="177">
        <v>0</v>
      </c>
      <c r="P18" s="177">
        <f>27*E18/300</f>
        <v>27</v>
      </c>
      <c r="Q18" s="177">
        <f>6.6*E18/300</f>
        <v>6.6</v>
      </c>
      <c r="R18" s="3"/>
      <c r="S18" s="3"/>
    </row>
    <row r="19" spans="1:34" ht="15.75" customHeight="1" x14ac:dyDescent="0.25">
      <c r="A19" s="120"/>
      <c r="B19" s="643" t="s">
        <v>32</v>
      </c>
      <c r="C19" s="472"/>
      <c r="D19" s="473"/>
      <c r="E19" s="179">
        <f>E18</f>
        <v>300</v>
      </c>
      <c r="F19" s="177">
        <f>SUM(F18)</f>
        <v>1.2</v>
      </c>
      <c r="G19" s="177">
        <f>SUM(G18)</f>
        <v>1.2</v>
      </c>
      <c r="H19" s="177">
        <f>SUM(H18)</f>
        <v>29.4</v>
      </c>
      <c r="I19" s="177">
        <f>SUM(I18)</f>
        <v>132</v>
      </c>
      <c r="J19" s="177">
        <f>J18</f>
        <v>0</v>
      </c>
      <c r="K19" s="177">
        <f t="shared" ref="K19:Q19" si="1">SUM(K18)</f>
        <v>30</v>
      </c>
      <c r="L19" s="177">
        <f t="shared" si="1"/>
        <v>0</v>
      </c>
      <c r="M19" s="177">
        <f t="shared" si="1"/>
        <v>0</v>
      </c>
      <c r="N19" s="177">
        <f t="shared" si="1"/>
        <v>48</v>
      </c>
      <c r="O19" s="177">
        <f t="shared" si="1"/>
        <v>0</v>
      </c>
      <c r="P19" s="177">
        <f t="shared" si="1"/>
        <v>27</v>
      </c>
      <c r="Q19" s="177">
        <f t="shared" si="1"/>
        <v>6.6</v>
      </c>
      <c r="R19" s="24"/>
      <c r="S19" s="24"/>
    </row>
    <row r="20" spans="1:34" ht="15.75" customHeight="1" x14ac:dyDescent="0.25">
      <c r="A20" s="121"/>
      <c r="B20" s="522" t="s">
        <v>33</v>
      </c>
      <c r="C20" s="446"/>
      <c r="D20" s="447"/>
      <c r="E20" s="107"/>
      <c r="F20" s="180"/>
      <c r="G20" s="181"/>
      <c r="H20" s="108"/>
      <c r="I20" s="180"/>
      <c r="J20" s="108"/>
      <c r="K20" s="180"/>
      <c r="L20" s="108"/>
      <c r="M20" s="180"/>
      <c r="N20" s="108"/>
      <c r="O20" s="180"/>
      <c r="P20" s="108"/>
      <c r="Q20" s="108"/>
      <c r="R20" s="1"/>
      <c r="S20" s="1"/>
    </row>
    <row r="21" spans="1:34" ht="15.75" customHeight="1" x14ac:dyDescent="0.25">
      <c r="A21" s="122">
        <v>71</v>
      </c>
      <c r="B21" s="448" t="s">
        <v>217</v>
      </c>
      <c r="C21" s="440"/>
      <c r="D21" s="441"/>
      <c r="E21" s="137">
        <v>50</v>
      </c>
      <c r="F21" s="182">
        <f>1.2*E21/100</f>
        <v>0.6</v>
      </c>
      <c r="G21" s="182">
        <f>0*E21/100</f>
        <v>0</v>
      </c>
      <c r="H21" s="182">
        <f>4.6*E21/100</f>
        <v>2.2999999999999998</v>
      </c>
      <c r="I21" s="182">
        <f>23.2*E21/100</f>
        <v>11.6</v>
      </c>
      <c r="J21" s="182">
        <f>0*E21/100</f>
        <v>0</v>
      </c>
      <c r="K21" s="182">
        <f>25*E21/100</f>
        <v>12.5</v>
      </c>
      <c r="L21" s="182">
        <v>0</v>
      </c>
      <c r="M21" s="182">
        <v>0</v>
      </c>
      <c r="N21" s="182">
        <f>14*E21/100</f>
        <v>7</v>
      </c>
      <c r="O21" s="182">
        <v>0</v>
      </c>
      <c r="P21" s="182">
        <f>9.34*E21/100</f>
        <v>4.67</v>
      </c>
      <c r="Q21" s="182">
        <f>0.9*E21/100</f>
        <v>0.45</v>
      </c>
      <c r="R21" s="1"/>
      <c r="S21" s="1"/>
    </row>
    <row r="22" spans="1:34" ht="18" customHeight="1" x14ac:dyDescent="0.25">
      <c r="A22" s="115">
        <v>88</v>
      </c>
      <c r="B22" s="544" t="s">
        <v>34</v>
      </c>
      <c r="C22" s="440"/>
      <c r="D22" s="441"/>
      <c r="E22" s="94">
        <v>250</v>
      </c>
      <c r="F22" s="149">
        <v>1.76</v>
      </c>
      <c r="G22" s="149">
        <f>4.95*E22/250</f>
        <v>4.95</v>
      </c>
      <c r="H22" s="149">
        <f>11.5*E22/250</f>
        <v>11.5</v>
      </c>
      <c r="I22" s="149">
        <f>97.59*E22/250</f>
        <v>97.59</v>
      </c>
      <c r="J22" s="149" t="s">
        <v>35</v>
      </c>
      <c r="K22" s="149">
        <f>22*E22/250</f>
        <v>22</v>
      </c>
      <c r="L22" s="149">
        <v>0</v>
      </c>
      <c r="M22" s="149">
        <f>22*E22/250</f>
        <v>22</v>
      </c>
      <c r="N22" s="149">
        <f>50*E22/250</f>
        <v>50</v>
      </c>
      <c r="O22" s="183">
        <v>0</v>
      </c>
      <c r="P22" s="149">
        <f>34.25*E22/250</f>
        <v>34.25</v>
      </c>
      <c r="Q22" s="149">
        <f>0.75*E22/250</f>
        <v>0.75</v>
      </c>
      <c r="R22" s="1"/>
      <c r="S22" s="1"/>
    </row>
    <row r="23" spans="1:34" ht="16.5" customHeight="1" x14ac:dyDescent="0.25">
      <c r="A23" s="577">
        <v>245</v>
      </c>
      <c r="B23" s="657" t="s">
        <v>36</v>
      </c>
      <c r="C23" s="476"/>
      <c r="D23" s="477"/>
      <c r="E23" s="184">
        <v>120</v>
      </c>
      <c r="F23" s="635">
        <f>29.02*(E23+E24)/(120+100)</f>
        <v>29.021055272727274</v>
      </c>
      <c r="G23" s="635">
        <f>21.86*(E23+E24)/(120+100)</f>
        <v>21.860794909090909</v>
      </c>
      <c r="H23" s="635">
        <f>6.58*(E23+E24)/(120+100)</f>
        <v>6.5802392727272725</v>
      </c>
      <c r="I23" s="635">
        <f>339.14*(E23+E24)/(120+100)</f>
        <v>339.15233236363639</v>
      </c>
      <c r="J23" s="635">
        <f>0*(E23+E24)/(120+50)</f>
        <v>0</v>
      </c>
      <c r="K23" s="635">
        <f>0.02*(E23+E24)/(120+100)</f>
        <v>2.0000727272727274E-2</v>
      </c>
      <c r="L23" s="635">
        <v>0</v>
      </c>
      <c r="M23" s="635">
        <v>0</v>
      </c>
      <c r="N23" s="635">
        <f>66.8*(E23+E24)/(120+100)</f>
        <v>66.802429090909087</v>
      </c>
      <c r="O23" s="656">
        <v>0</v>
      </c>
      <c r="P23" s="635">
        <f>41*(E23+E24)/(120+100)</f>
        <v>41.001490909090904</v>
      </c>
      <c r="Q23" s="635">
        <f>1.98*(E23+E24)/(120+100)</f>
        <v>1.9800720000000001</v>
      </c>
      <c r="R23" s="3"/>
      <c r="S23" s="3"/>
    </row>
    <row r="24" spans="1:34" ht="12.75" customHeight="1" x14ac:dyDescent="0.25">
      <c r="A24" s="471"/>
      <c r="B24" s="640"/>
      <c r="C24" s="479"/>
      <c r="D24" s="480"/>
      <c r="E24" s="176">
        <f>E23*83.34/100</f>
        <v>100.00800000000001</v>
      </c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3"/>
      <c r="S24" s="3"/>
    </row>
    <row r="25" spans="1:34" ht="16.5" customHeight="1" x14ac:dyDescent="0.25">
      <c r="A25" s="533">
        <v>204</v>
      </c>
      <c r="B25" s="554" t="s">
        <v>37</v>
      </c>
      <c r="C25" s="476"/>
      <c r="D25" s="477"/>
      <c r="E25" s="158">
        <v>220</v>
      </c>
      <c r="F25" s="533">
        <f>13.54*E25/200</f>
        <v>14.893999999999998</v>
      </c>
      <c r="G25" s="533">
        <f>15.3*E25/200</f>
        <v>16.829999999999998</v>
      </c>
      <c r="H25" s="533">
        <f>34.11*E25/200</f>
        <v>37.521000000000001</v>
      </c>
      <c r="I25" s="533">
        <v>250.45</v>
      </c>
      <c r="J25" s="533">
        <f>0*E25/200</f>
        <v>0</v>
      </c>
      <c r="K25" s="533">
        <f>0.22*E25/200</f>
        <v>0.24199999999999999</v>
      </c>
      <c r="L25" s="533">
        <f>0*E25/200</f>
        <v>0</v>
      </c>
      <c r="M25" s="533">
        <f>0*E25/200</f>
        <v>0</v>
      </c>
      <c r="N25" s="533">
        <f>295.2*E25/200</f>
        <v>324.72000000000003</v>
      </c>
      <c r="O25" s="533">
        <f>0*E25/200</f>
        <v>0</v>
      </c>
      <c r="P25" s="533">
        <f>20.32*E25/200</f>
        <v>22.351999999999997</v>
      </c>
      <c r="Q25" s="533">
        <f>1.23*E25/200</f>
        <v>1.3530000000000002</v>
      </c>
      <c r="R25" s="17"/>
      <c r="S25" s="17"/>
    </row>
    <row r="26" spans="1:34" ht="15.75" customHeight="1" x14ac:dyDescent="0.25">
      <c r="A26" s="471"/>
      <c r="B26" s="478"/>
      <c r="C26" s="479"/>
      <c r="D26" s="480"/>
      <c r="E26" s="130">
        <f>E25*16/100</f>
        <v>35.200000000000003</v>
      </c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1"/>
      <c r="S26" s="1"/>
    </row>
    <row r="27" spans="1:34" ht="15.75" customHeight="1" x14ac:dyDescent="0.25">
      <c r="A27" s="106">
        <v>342</v>
      </c>
      <c r="B27" s="439" t="s">
        <v>38</v>
      </c>
      <c r="C27" s="440"/>
      <c r="D27" s="441"/>
      <c r="E27" s="100">
        <v>200</v>
      </c>
      <c r="F27" s="117">
        <v>0.06</v>
      </c>
      <c r="G27" s="117">
        <v>0.09</v>
      </c>
      <c r="H27" s="117">
        <v>32.01</v>
      </c>
      <c r="I27" s="117">
        <v>133</v>
      </c>
      <c r="J27" s="117">
        <v>0</v>
      </c>
      <c r="K27" s="117">
        <v>2.25</v>
      </c>
      <c r="L27" s="117">
        <v>0</v>
      </c>
      <c r="M27" s="117">
        <v>0</v>
      </c>
      <c r="N27" s="117">
        <v>17</v>
      </c>
      <c r="O27" s="117">
        <v>0</v>
      </c>
      <c r="P27" s="117">
        <v>9</v>
      </c>
      <c r="Q27" s="117">
        <v>2.2000000000000002</v>
      </c>
      <c r="R27" s="19"/>
      <c r="S27" s="17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ht="15.75" customHeight="1" x14ac:dyDescent="0.25">
      <c r="A28" s="106" t="s">
        <v>27</v>
      </c>
      <c r="B28" s="439" t="s">
        <v>28</v>
      </c>
      <c r="C28" s="440"/>
      <c r="D28" s="441"/>
      <c r="E28" s="99">
        <v>45</v>
      </c>
      <c r="F28" s="117">
        <f>2.26*E28/30</f>
        <v>3.3899999999999997</v>
      </c>
      <c r="G28" s="117">
        <f>0.23*E28/30</f>
        <v>0.34499999999999997</v>
      </c>
      <c r="H28" s="117">
        <f>14.66*E28/30</f>
        <v>21.990000000000002</v>
      </c>
      <c r="I28" s="117">
        <f>68.86*E28/30</f>
        <v>103.28999999999999</v>
      </c>
      <c r="J28" s="117">
        <v>0</v>
      </c>
      <c r="K28" s="117">
        <v>0</v>
      </c>
      <c r="L28" s="117">
        <v>0</v>
      </c>
      <c r="M28" s="117">
        <v>0</v>
      </c>
      <c r="N28" s="117">
        <f>12.97*E28/30</f>
        <v>19.454999999999998</v>
      </c>
      <c r="O28" s="117">
        <v>0</v>
      </c>
      <c r="P28" s="117">
        <f>2.83*E28/30</f>
        <v>4.2450000000000001</v>
      </c>
      <c r="Q28" s="117">
        <f>0.74*E28/30</f>
        <v>1.1099999999999999</v>
      </c>
      <c r="R28" s="19"/>
      <c r="S28" s="17"/>
    </row>
    <row r="29" spans="1:34" ht="15.75" customHeight="1" x14ac:dyDescent="0.25">
      <c r="A29" s="106" t="s">
        <v>27</v>
      </c>
      <c r="B29" s="439" t="s">
        <v>39</v>
      </c>
      <c r="C29" s="440"/>
      <c r="D29" s="441"/>
      <c r="E29" s="99">
        <v>120</v>
      </c>
      <c r="F29" s="117">
        <f>4.03*E29/50</f>
        <v>9.6720000000000006</v>
      </c>
      <c r="G29" s="117">
        <f>0.5*E29/50</f>
        <v>1.2</v>
      </c>
      <c r="H29" s="117">
        <f>22.36*E29/50</f>
        <v>53.663999999999994</v>
      </c>
      <c r="I29" s="117">
        <f>98.86*E29/50</f>
        <v>237.26400000000001</v>
      </c>
      <c r="J29" s="117">
        <v>0</v>
      </c>
      <c r="K29" s="117">
        <v>0</v>
      </c>
      <c r="L29" s="117">
        <v>0</v>
      </c>
      <c r="M29" s="117">
        <v>0</v>
      </c>
      <c r="N29" s="117">
        <f>17.59*E29/50</f>
        <v>42.216000000000001</v>
      </c>
      <c r="O29" s="117">
        <v>0</v>
      </c>
      <c r="P29" s="117">
        <f>1.89*E29/50</f>
        <v>4.5359999999999996</v>
      </c>
      <c r="Q29" s="117">
        <f>0.88*E29/50</f>
        <v>2.1120000000000001</v>
      </c>
      <c r="R29" s="17"/>
      <c r="S29" s="17"/>
    </row>
    <row r="30" spans="1:34" ht="15.75" customHeight="1" x14ac:dyDescent="0.25">
      <c r="A30" s="106"/>
      <c r="B30" s="442" t="s">
        <v>40</v>
      </c>
      <c r="C30" s="472"/>
      <c r="D30" s="473"/>
      <c r="E30" s="99">
        <f t="shared" ref="E30:Q30" si="2">SUM(E21:E29)</f>
        <v>1140.2080000000001</v>
      </c>
      <c r="F30" s="117">
        <f t="shared" si="2"/>
        <v>59.397055272727272</v>
      </c>
      <c r="G30" s="117">
        <f t="shared" si="2"/>
        <v>45.275794909090912</v>
      </c>
      <c r="H30" s="117">
        <f t="shared" si="2"/>
        <v>165.56523927272727</v>
      </c>
      <c r="I30" s="117">
        <f t="shared" si="2"/>
        <v>1172.3463323636365</v>
      </c>
      <c r="J30" s="117">
        <f t="shared" si="2"/>
        <v>0</v>
      </c>
      <c r="K30" s="117">
        <f t="shared" si="2"/>
        <v>37.012000727272728</v>
      </c>
      <c r="L30" s="117">
        <f t="shared" si="2"/>
        <v>0</v>
      </c>
      <c r="M30" s="117">
        <f t="shared" si="2"/>
        <v>22</v>
      </c>
      <c r="N30" s="117">
        <f t="shared" si="2"/>
        <v>527.19342909090904</v>
      </c>
      <c r="O30" s="117">
        <f t="shared" si="2"/>
        <v>0</v>
      </c>
      <c r="P30" s="117">
        <f t="shared" si="2"/>
        <v>120.0544909090909</v>
      </c>
      <c r="Q30" s="117">
        <f t="shared" si="2"/>
        <v>9.9550720000000013</v>
      </c>
      <c r="R30" s="17"/>
      <c r="S30" s="17"/>
    </row>
    <row r="31" spans="1:34" ht="19.5" customHeight="1" x14ac:dyDescent="0.25">
      <c r="A31" s="123"/>
      <c r="B31" s="658" t="s">
        <v>41</v>
      </c>
      <c r="C31" s="659"/>
      <c r="D31" s="660"/>
      <c r="E31" s="107"/>
      <c r="F31" s="180"/>
      <c r="G31" s="108"/>
      <c r="H31" s="108"/>
      <c r="I31" s="185"/>
      <c r="J31" s="180"/>
      <c r="K31" s="108"/>
      <c r="L31" s="180"/>
      <c r="M31" s="108"/>
      <c r="N31" s="180"/>
      <c r="O31" s="186"/>
      <c r="P31" s="180"/>
      <c r="Q31" s="108"/>
      <c r="R31" s="17"/>
      <c r="S31" s="17"/>
    </row>
    <row r="32" spans="1:34" ht="15.75" hidden="1" customHeight="1" x14ac:dyDescent="0.25">
      <c r="A32" s="124"/>
      <c r="B32" s="28"/>
      <c r="C32" s="28"/>
      <c r="D32" s="28"/>
      <c r="E32" s="187"/>
      <c r="F32" s="188"/>
      <c r="G32" s="189"/>
      <c r="H32" s="189"/>
      <c r="I32" s="188"/>
      <c r="J32" s="188"/>
      <c r="K32" s="189"/>
      <c r="L32" s="188"/>
      <c r="M32" s="189"/>
      <c r="N32" s="188"/>
      <c r="O32" s="189"/>
      <c r="P32" s="188"/>
      <c r="Q32" s="189"/>
      <c r="R32" s="29"/>
      <c r="S32" s="29"/>
    </row>
    <row r="33" spans="1:19" ht="15.75" customHeight="1" x14ac:dyDescent="0.25">
      <c r="A33" s="115">
        <v>410</v>
      </c>
      <c r="B33" s="439" t="s">
        <v>218</v>
      </c>
      <c r="C33" s="440"/>
      <c r="D33" s="441"/>
      <c r="E33" s="94">
        <v>100</v>
      </c>
      <c r="F33" s="139">
        <f>5.03*E33/100</f>
        <v>5.03</v>
      </c>
      <c r="G33" s="139">
        <f>10.14*E33/100</f>
        <v>10.14</v>
      </c>
      <c r="H33" s="139">
        <f>33.73*E33/100</f>
        <v>33.729999999999997</v>
      </c>
      <c r="I33" s="139">
        <f>246.33*E33/100</f>
        <v>246.33</v>
      </c>
      <c r="J33" s="129">
        <v>0</v>
      </c>
      <c r="K33" s="129">
        <f>0.11*E33/100</f>
        <v>0.11</v>
      </c>
      <c r="L33" s="129">
        <v>0</v>
      </c>
      <c r="M33" s="129">
        <v>0</v>
      </c>
      <c r="N33" s="129">
        <f>72.29*E33/100</f>
        <v>72.290000000000006</v>
      </c>
      <c r="O33" s="129">
        <v>0</v>
      </c>
      <c r="P33" s="129">
        <f>30.86*E33/100</f>
        <v>30.86</v>
      </c>
      <c r="Q33" s="129">
        <f>1.29*E33/100</f>
        <v>1.29</v>
      </c>
      <c r="R33" s="17"/>
      <c r="S33" s="17"/>
    </row>
    <row r="34" spans="1:19" ht="15.75" customHeight="1" x14ac:dyDescent="0.25">
      <c r="A34" s="115">
        <v>385</v>
      </c>
      <c r="B34" s="439" t="s">
        <v>42</v>
      </c>
      <c r="C34" s="440"/>
      <c r="D34" s="441"/>
      <c r="E34" s="95">
        <v>200</v>
      </c>
      <c r="F34" s="131">
        <f>5.8*E34/200</f>
        <v>5.8</v>
      </c>
      <c r="G34" s="131">
        <f>5*E34/200</f>
        <v>5</v>
      </c>
      <c r="H34" s="131">
        <f>9.6*E34/200</f>
        <v>9.6</v>
      </c>
      <c r="I34" s="131">
        <f>107.8*E34/200</f>
        <v>107.8</v>
      </c>
      <c r="J34" s="131">
        <v>0</v>
      </c>
      <c r="K34" s="131">
        <f>2.6*E34/200</f>
        <v>2.6</v>
      </c>
      <c r="L34" s="129">
        <v>0</v>
      </c>
      <c r="M34" s="129">
        <v>0</v>
      </c>
      <c r="N34" s="129">
        <f>240*E34/200</f>
        <v>240</v>
      </c>
      <c r="O34" s="129">
        <v>0</v>
      </c>
      <c r="P34" s="129">
        <f>28*E34/200</f>
        <v>28</v>
      </c>
      <c r="Q34" s="129">
        <f>0.2*E34/200</f>
        <v>0.2</v>
      </c>
      <c r="R34" s="17"/>
      <c r="S34" s="17"/>
    </row>
    <row r="35" spans="1:19" ht="15.75" customHeight="1" x14ac:dyDescent="0.25">
      <c r="A35" s="125"/>
      <c r="B35" s="442" t="s">
        <v>43</v>
      </c>
      <c r="C35" s="472"/>
      <c r="D35" s="473"/>
      <c r="E35" s="96">
        <f t="shared" ref="E35:Q35" si="3">SUM(E33:E34)</f>
        <v>300</v>
      </c>
      <c r="F35" s="117">
        <f t="shared" si="3"/>
        <v>10.83</v>
      </c>
      <c r="G35" s="117">
        <f t="shared" si="3"/>
        <v>15.14</v>
      </c>
      <c r="H35" s="190">
        <f t="shared" si="3"/>
        <v>43.33</v>
      </c>
      <c r="I35" s="191">
        <f t="shared" si="3"/>
        <v>354.13</v>
      </c>
      <c r="J35" s="190">
        <f t="shared" si="3"/>
        <v>0</v>
      </c>
      <c r="K35" s="190">
        <f t="shared" si="3"/>
        <v>2.71</v>
      </c>
      <c r="L35" s="190">
        <f t="shared" si="3"/>
        <v>0</v>
      </c>
      <c r="M35" s="190">
        <f t="shared" si="3"/>
        <v>0</v>
      </c>
      <c r="N35" s="190">
        <f t="shared" si="3"/>
        <v>312.29000000000002</v>
      </c>
      <c r="O35" s="190">
        <f t="shared" si="3"/>
        <v>0</v>
      </c>
      <c r="P35" s="190">
        <f t="shared" si="3"/>
        <v>58.86</v>
      </c>
      <c r="Q35" s="190">
        <f t="shared" si="3"/>
        <v>1.49</v>
      </c>
      <c r="R35" s="17"/>
      <c r="S35" s="17"/>
    </row>
    <row r="36" spans="1:19" ht="15.75" customHeight="1" x14ac:dyDescent="0.25">
      <c r="A36" s="126"/>
      <c r="B36" s="522" t="s">
        <v>44</v>
      </c>
      <c r="C36" s="446"/>
      <c r="D36" s="447"/>
      <c r="E36" s="97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3"/>
      <c r="R36" s="17"/>
      <c r="S36" s="17"/>
    </row>
    <row r="37" spans="1:19" ht="15.75" customHeight="1" x14ac:dyDescent="0.25">
      <c r="A37" s="157">
        <v>55</v>
      </c>
      <c r="B37" s="644" t="s">
        <v>45</v>
      </c>
      <c r="C37" s="563"/>
      <c r="D37" s="564"/>
      <c r="E37" s="276">
        <v>100</v>
      </c>
      <c r="F37" s="149">
        <f>2*E37/100</f>
        <v>2</v>
      </c>
      <c r="G37" s="149">
        <f>6*E37/100</f>
        <v>6</v>
      </c>
      <c r="H37" s="149">
        <f>7.7*E37/100</f>
        <v>7.7</v>
      </c>
      <c r="I37" s="149">
        <f>93*E37/100</f>
        <v>93</v>
      </c>
      <c r="J37" s="194"/>
      <c r="K37" s="194">
        <f>8.5*E37/100</f>
        <v>8.5</v>
      </c>
      <c r="L37" s="194">
        <f>0*E37/100</f>
        <v>0</v>
      </c>
      <c r="M37" s="149">
        <f>0*E37/100</f>
        <v>0</v>
      </c>
      <c r="N37" s="149">
        <f>30.35*E37/100</f>
        <v>30.35</v>
      </c>
      <c r="O37" s="149">
        <f>0*E37/100</f>
        <v>0</v>
      </c>
      <c r="P37" s="194">
        <f>18.8*E37/100</f>
        <v>18.8</v>
      </c>
      <c r="Q37" s="149">
        <f>1.07*E37/100</f>
        <v>1.07</v>
      </c>
      <c r="R37" s="29"/>
      <c r="S37" s="29"/>
    </row>
    <row r="38" spans="1:19" ht="14.25" customHeight="1" x14ac:dyDescent="0.25">
      <c r="A38" s="667">
        <v>256</v>
      </c>
      <c r="B38" s="668" t="s">
        <v>219</v>
      </c>
      <c r="C38" s="669"/>
      <c r="D38" s="670"/>
      <c r="E38" s="279">
        <v>100</v>
      </c>
      <c r="F38" s="662">
        <f>33*E38/100</f>
        <v>33</v>
      </c>
      <c r="G38" s="662">
        <f>13.4*E38/100</f>
        <v>13.4</v>
      </c>
      <c r="H38" s="662">
        <f>6.2*E38/100</f>
        <v>6.2</v>
      </c>
      <c r="I38" s="662">
        <f>277.4*E38/100</f>
        <v>277.39999999999998</v>
      </c>
      <c r="J38" s="662">
        <f>0*E38/100</f>
        <v>0</v>
      </c>
      <c r="K38" s="662">
        <f>0.54*E38/100</f>
        <v>0.54</v>
      </c>
      <c r="L38" s="662">
        <f>0*E38/100</f>
        <v>0</v>
      </c>
      <c r="M38" s="662">
        <f>0*E38/100</f>
        <v>0</v>
      </c>
      <c r="N38" s="662">
        <f>42.45*E38/100</f>
        <v>42.45</v>
      </c>
      <c r="O38" s="662">
        <f>0*E38/100</f>
        <v>0</v>
      </c>
      <c r="P38" s="662">
        <f>46.12*E38/100</f>
        <v>46.12</v>
      </c>
      <c r="Q38" s="662">
        <f>4.89*E38/100</f>
        <v>4.8899999999999997</v>
      </c>
      <c r="R38" s="19"/>
      <c r="S38" s="29"/>
    </row>
    <row r="39" spans="1:19" ht="12" customHeight="1" x14ac:dyDescent="0.25">
      <c r="A39" s="663"/>
      <c r="B39" s="671"/>
      <c r="C39" s="672"/>
      <c r="D39" s="673"/>
      <c r="E39" s="327">
        <f>E38*100/100</f>
        <v>100</v>
      </c>
      <c r="F39" s="674"/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  <c r="R39" s="29"/>
      <c r="S39" s="29"/>
    </row>
    <row r="40" spans="1:19" ht="15.75" customHeight="1" x14ac:dyDescent="0.25">
      <c r="A40" s="277">
        <v>302</v>
      </c>
      <c r="B40" s="680" t="s">
        <v>46</v>
      </c>
      <c r="C40" s="681"/>
      <c r="D40" s="682"/>
      <c r="E40" s="278">
        <v>200</v>
      </c>
      <c r="F40" s="190">
        <v>10.5</v>
      </c>
      <c r="G40" s="190">
        <v>11.34</v>
      </c>
      <c r="H40" s="190">
        <v>45.77</v>
      </c>
      <c r="I40" s="190">
        <v>332.5</v>
      </c>
      <c r="J40" s="190">
        <v>0</v>
      </c>
      <c r="K40" s="190">
        <v>0.15</v>
      </c>
      <c r="L40" s="190">
        <v>0.88</v>
      </c>
      <c r="M40" s="190">
        <v>0.88</v>
      </c>
      <c r="N40" s="190">
        <v>31.33</v>
      </c>
      <c r="O40" s="190">
        <v>32.06</v>
      </c>
      <c r="P40" s="190">
        <v>166.86</v>
      </c>
      <c r="Q40" s="190">
        <v>5.61</v>
      </c>
      <c r="R40" s="29"/>
      <c r="S40" s="29"/>
    </row>
    <row r="41" spans="1:19" ht="15.75" customHeight="1" x14ac:dyDescent="0.25">
      <c r="A41" s="106" t="s">
        <v>27</v>
      </c>
      <c r="B41" s="439" t="s">
        <v>28</v>
      </c>
      <c r="C41" s="440"/>
      <c r="D41" s="441"/>
      <c r="E41" s="99">
        <v>45</v>
      </c>
      <c r="F41" s="117">
        <f>2.26*E41/30</f>
        <v>3.3899999999999997</v>
      </c>
      <c r="G41" s="117">
        <f>0.23*E41/30</f>
        <v>0.34499999999999997</v>
      </c>
      <c r="H41" s="117">
        <f>14.66*E41/30</f>
        <v>21.990000000000002</v>
      </c>
      <c r="I41" s="117">
        <f>68.86*E41/30</f>
        <v>103.28999999999999</v>
      </c>
      <c r="J41" s="117">
        <v>0</v>
      </c>
      <c r="K41" s="117">
        <v>0</v>
      </c>
      <c r="L41" s="117">
        <v>0</v>
      </c>
      <c r="M41" s="117">
        <v>0</v>
      </c>
      <c r="N41" s="117">
        <f>12.97*E41/30</f>
        <v>19.454999999999998</v>
      </c>
      <c r="O41" s="117">
        <v>0</v>
      </c>
      <c r="P41" s="117">
        <f>2.83*E41/30</f>
        <v>4.2450000000000001</v>
      </c>
      <c r="Q41" s="117">
        <f>0.74*E41/30</f>
        <v>1.1099999999999999</v>
      </c>
      <c r="R41" s="29"/>
      <c r="S41" s="29"/>
    </row>
    <row r="42" spans="1:19" ht="15.75" customHeight="1" x14ac:dyDescent="0.25">
      <c r="A42" s="106" t="s">
        <v>27</v>
      </c>
      <c r="B42" s="439" t="s">
        <v>39</v>
      </c>
      <c r="C42" s="440"/>
      <c r="D42" s="441"/>
      <c r="E42" s="99">
        <v>75</v>
      </c>
      <c r="F42" s="117">
        <f>4.03*E42/50</f>
        <v>6.0449999999999999</v>
      </c>
      <c r="G42" s="117">
        <f>0.5*E42/50</f>
        <v>0.75</v>
      </c>
      <c r="H42" s="117">
        <f>22.36*E42/50</f>
        <v>33.54</v>
      </c>
      <c r="I42" s="117">
        <f>98.86*E42/50</f>
        <v>148.29</v>
      </c>
      <c r="J42" s="117">
        <v>0</v>
      </c>
      <c r="K42" s="117">
        <v>0</v>
      </c>
      <c r="L42" s="117">
        <v>0</v>
      </c>
      <c r="M42" s="117">
        <v>0</v>
      </c>
      <c r="N42" s="117">
        <f>17.59*E42/50</f>
        <v>26.385000000000002</v>
      </c>
      <c r="O42" s="117">
        <v>0</v>
      </c>
      <c r="P42" s="117">
        <f>1.89*E42/50</f>
        <v>2.835</v>
      </c>
      <c r="Q42" s="117">
        <f>0.88*E42/50</f>
        <v>1.32</v>
      </c>
      <c r="R42" s="29"/>
      <c r="S42" s="29"/>
    </row>
    <row r="43" spans="1:19" ht="15.75" customHeight="1" x14ac:dyDescent="0.25">
      <c r="A43" s="106">
        <v>389</v>
      </c>
      <c r="B43" s="540" t="s">
        <v>47</v>
      </c>
      <c r="C43" s="440"/>
      <c r="D43" s="441"/>
      <c r="E43" s="100">
        <v>200</v>
      </c>
      <c r="F43" s="117">
        <v>1</v>
      </c>
      <c r="G43" s="117">
        <v>0</v>
      </c>
      <c r="H43" s="117">
        <v>20.2</v>
      </c>
      <c r="I43" s="117">
        <v>84.8</v>
      </c>
      <c r="J43" s="117">
        <v>0</v>
      </c>
      <c r="K43" s="117">
        <v>4</v>
      </c>
      <c r="L43" s="117">
        <v>0</v>
      </c>
      <c r="M43" s="117">
        <v>0</v>
      </c>
      <c r="N43" s="117">
        <v>14</v>
      </c>
      <c r="O43" s="117">
        <v>0</v>
      </c>
      <c r="P43" s="117">
        <v>8</v>
      </c>
      <c r="Q43" s="117">
        <v>2.8</v>
      </c>
      <c r="R43" s="29"/>
      <c r="S43" s="29"/>
    </row>
    <row r="44" spans="1:19" ht="15.75" customHeight="1" x14ac:dyDescent="0.25">
      <c r="A44" s="106"/>
      <c r="B44" s="442" t="s">
        <v>48</v>
      </c>
      <c r="C44" s="472"/>
      <c r="D44" s="473"/>
      <c r="E44" s="100">
        <f t="shared" ref="E44:Q44" si="4">SUM(E37:E43)</f>
        <v>820</v>
      </c>
      <c r="F44" s="193">
        <f t="shared" si="4"/>
        <v>55.935000000000002</v>
      </c>
      <c r="G44" s="117">
        <f t="shared" si="4"/>
        <v>31.834999999999997</v>
      </c>
      <c r="H44" s="193">
        <f t="shared" si="4"/>
        <v>135.39999999999998</v>
      </c>
      <c r="I44" s="195">
        <f t="shared" si="4"/>
        <v>1039.28</v>
      </c>
      <c r="J44" s="117">
        <f t="shared" si="4"/>
        <v>0</v>
      </c>
      <c r="K44" s="193">
        <f t="shared" si="4"/>
        <v>13.19</v>
      </c>
      <c r="L44" s="193">
        <f t="shared" si="4"/>
        <v>0.88</v>
      </c>
      <c r="M44" s="193">
        <f t="shared" si="4"/>
        <v>0.88</v>
      </c>
      <c r="N44" s="193">
        <f t="shared" si="4"/>
        <v>163.97</v>
      </c>
      <c r="O44" s="193">
        <f t="shared" si="4"/>
        <v>32.06</v>
      </c>
      <c r="P44" s="193">
        <f t="shared" si="4"/>
        <v>246.86000000000004</v>
      </c>
      <c r="Q44" s="193">
        <f t="shared" si="4"/>
        <v>16.8</v>
      </c>
      <c r="R44" s="17"/>
      <c r="S44" s="17"/>
    </row>
    <row r="45" spans="1:19" ht="14.25" customHeight="1" x14ac:dyDescent="0.25">
      <c r="A45" s="106"/>
      <c r="B45" s="683" t="s">
        <v>49</v>
      </c>
      <c r="C45" s="446"/>
      <c r="D45" s="447"/>
      <c r="E45" s="100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29"/>
      <c r="S45" s="29"/>
    </row>
    <row r="46" spans="1:19" ht="18.75" customHeight="1" x14ac:dyDescent="0.25">
      <c r="A46" s="106">
        <v>386</v>
      </c>
      <c r="B46" s="439" t="s">
        <v>50</v>
      </c>
      <c r="C46" s="440"/>
      <c r="D46" s="441"/>
      <c r="E46" s="101">
        <v>200</v>
      </c>
      <c r="F46" s="117">
        <f>5.6*E46/200</f>
        <v>5.6</v>
      </c>
      <c r="G46" s="117">
        <f>5*E46/200</f>
        <v>5</v>
      </c>
      <c r="H46" s="117">
        <f>8.2*E46/200</f>
        <v>8.1999999999999993</v>
      </c>
      <c r="I46" s="195">
        <f>100.2*E46/200</f>
        <v>100.2</v>
      </c>
      <c r="J46" s="117">
        <f>0*E46/200</f>
        <v>0</v>
      </c>
      <c r="K46" s="117">
        <f>1.4*E46/200</f>
        <v>1.4</v>
      </c>
      <c r="L46" s="117">
        <f>0*E46/200</f>
        <v>0</v>
      </c>
      <c r="M46" s="117">
        <f>0*E46/200</f>
        <v>0</v>
      </c>
      <c r="N46" s="117">
        <f>240*E46/200</f>
        <v>240</v>
      </c>
      <c r="O46" s="117">
        <f>0*E46/200</f>
        <v>0</v>
      </c>
      <c r="P46" s="117">
        <f>28*E46/200</f>
        <v>28</v>
      </c>
      <c r="Q46" s="117">
        <f>0.2*E46/200</f>
        <v>0.2</v>
      </c>
      <c r="R46" s="17"/>
      <c r="S46" s="17"/>
    </row>
    <row r="47" spans="1:19" ht="18.75" customHeight="1" x14ac:dyDescent="0.25">
      <c r="A47" s="127" t="s">
        <v>27</v>
      </c>
      <c r="B47" s="439" t="s">
        <v>51</v>
      </c>
      <c r="C47" s="440"/>
      <c r="D47" s="441"/>
      <c r="E47" s="102">
        <v>23</v>
      </c>
      <c r="F47" s="196">
        <v>2.25</v>
      </c>
      <c r="G47" s="196">
        <v>3.54</v>
      </c>
      <c r="H47" s="196">
        <v>7.08</v>
      </c>
      <c r="I47" s="196">
        <v>69</v>
      </c>
      <c r="J47" s="196">
        <v>0</v>
      </c>
      <c r="K47" s="117">
        <v>0</v>
      </c>
      <c r="L47" s="196">
        <v>0</v>
      </c>
      <c r="M47" s="196">
        <v>0</v>
      </c>
      <c r="N47" s="196">
        <f>6.8*E47/45</f>
        <v>3.4755555555555557</v>
      </c>
      <c r="O47" s="196">
        <v>0</v>
      </c>
      <c r="P47" s="196">
        <f>4.53*E47/45</f>
        <v>2.3153333333333337</v>
      </c>
      <c r="Q47" s="196">
        <f>0.9*E47/45</f>
        <v>0.45999999999999996</v>
      </c>
      <c r="R47" s="29"/>
      <c r="S47" s="29"/>
    </row>
    <row r="48" spans="1:19" ht="19.5" customHeight="1" x14ac:dyDescent="0.25">
      <c r="A48" s="106"/>
      <c r="B48" s="442" t="s">
        <v>52</v>
      </c>
      <c r="C48" s="675"/>
      <c r="D48" s="676"/>
      <c r="E48" s="100">
        <f t="shared" ref="E48:J48" si="5">SUM(E46:E47)</f>
        <v>223</v>
      </c>
      <c r="F48" s="117">
        <f t="shared" si="5"/>
        <v>7.85</v>
      </c>
      <c r="G48" s="117">
        <f t="shared" si="5"/>
        <v>8.5399999999999991</v>
      </c>
      <c r="H48" s="117">
        <f t="shared" si="5"/>
        <v>15.28</v>
      </c>
      <c r="I48" s="192">
        <f t="shared" si="5"/>
        <v>169.2</v>
      </c>
      <c r="J48" s="117">
        <f t="shared" si="5"/>
        <v>0</v>
      </c>
      <c r="K48" s="117">
        <v>0.02</v>
      </c>
      <c r="L48" s="117">
        <f>SUM(L46:L47)</f>
        <v>0</v>
      </c>
      <c r="M48" s="117">
        <v>1.05</v>
      </c>
      <c r="N48" s="117">
        <v>33</v>
      </c>
      <c r="O48" s="117">
        <v>8.6999999999999993</v>
      </c>
      <c r="P48" s="117">
        <f t="shared" ref="P48:Q48" si="6">SUM(P46:P47)</f>
        <v>30.315333333333335</v>
      </c>
      <c r="Q48" s="193">
        <f t="shared" si="6"/>
        <v>0.65999999999999992</v>
      </c>
      <c r="R48" s="17"/>
      <c r="S48" s="17"/>
    </row>
    <row r="49" spans="1:19" ht="15.75" customHeight="1" x14ac:dyDescent="0.25">
      <c r="A49" s="106"/>
      <c r="B49" s="436" t="s">
        <v>53</v>
      </c>
      <c r="C49" s="437"/>
      <c r="D49" s="438"/>
      <c r="E49" s="103">
        <v>8</v>
      </c>
      <c r="F49" s="117"/>
      <c r="G49" s="117"/>
      <c r="H49" s="117"/>
      <c r="I49" s="192"/>
      <c r="J49" s="117"/>
      <c r="K49" s="117"/>
      <c r="L49" s="117"/>
      <c r="M49" s="117"/>
      <c r="N49" s="117">
        <v>29.44</v>
      </c>
      <c r="O49" s="117"/>
      <c r="P49" s="117">
        <v>1.76</v>
      </c>
      <c r="Q49" s="193">
        <v>0.23</v>
      </c>
      <c r="R49" s="17"/>
      <c r="S49" s="17"/>
    </row>
    <row r="50" spans="1:19" ht="15.75" customHeight="1" x14ac:dyDescent="0.25">
      <c r="A50" s="106"/>
      <c r="B50" s="442" t="s">
        <v>54</v>
      </c>
      <c r="C50" s="472"/>
      <c r="D50" s="473"/>
      <c r="E50" s="93">
        <f t="shared" ref="E50:M50" si="7">SUM(E15,E18,E30,E35,E44,E48)</f>
        <v>3378.2080000000001</v>
      </c>
      <c r="F50" s="22">
        <f t="shared" si="7"/>
        <v>163.13955527272728</v>
      </c>
      <c r="G50" s="22">
        <f t="shared" si="7"/>
        <v>133.66579490909089</v>
      </c>
      <c r="H50" s="22">
        <f t="shared" si="7"/>
        <v>490.22523927272721</v>
      </c>
      <c r="I50" s="30">
        <f t="shared" si="7"/>
        <v>3688.2363323636364</v>
      </c>
      <c r="J50" s="22">
        <f t="shared" si="7"/>
        <v>7.0000000000000007E-2</v>
      </c>
      <c r="K50" s="22">
        <f t="shared" si="7"/>
        <v>85.80450072727271</v>
      </c>
      <c r="L50" s="22">
        <f t="shared" si="7"/>
        <v>0.91</v>
      </c>
      <c r="M50" s="22">
        <f t="shared" si="7"/>
        <v>24.04</v>
      </c>
      <c r="N50" s="22">
        <f>SUM(N15,N18,N30,N35,N44,N48,N49)</f>
        <v>1600.540929090909</v>
      </c>
      <c r="O50" s="22">
        <f>SUM(O15,O18,O30,O35,O44,O48)</f>
        <v>179.41</v>
      </c>
      <c r="P50" s="22">
        <f>SUM(P15,P18,P30,P35,P44,P48)</f>
        <v>549.80982424242427</v>
      </c>
      <c r="Q50" s="31">
        <f>SUM(Q15,Q18,Q30,Q35,Q44,Q48)</f>
        <v>39.355071999999993</v>
      </c>
      <c r="R50" s="17"/>
      <c r="S50" s="17"/>
    </row>
    <row r="51" spans="1:19" s="85" customFormat="1" ht="15.75" customHeight="1" x14ac:dyDescent="0.25">
      <c r="A51" s="236"/>
      <c r="B51" s="304"/>
      <c r="C51" s="86"/>
      <c r="D51" s="86"/>
      <c r="E51" s="305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21"/>
      <c r="S51" s="221"/>
    </row>
    <row r="52" spans="1:19" ht="34.5" customHeight="1" x14ac:dyDescent="0.25">
      <c r="A52" s="677" t="s">
        <v>55</v>
      </c>
      <c r="B52" s="678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678"/>
      <c r="P52" s="678"/>
      <c r="Q52" s="678"/>
      <c r="R52" s="679"/>
      <c r="S52" s="1"/>
    </row>
    <row r="53" spans="1:19" ht="33.75" customHeight="1" x14ac:dyDescent="0.25">
      <c r="A53" s="684" t="s">
        <v>3</v>
      </c>
      <c r="B53" s="685" t="s">
        <v>4</v>
      </c>
      <c r="C53" s="620"/>
      <c r="D53" s="621"/>
      <c r="E53" s="664" t="s">
        <v>5</v>
      </c>
      <c r="F53" s="665" t="s">
        <v>6</v>
      </c>
      <c r="G53" s="434"/>
      <c r="H53" s="435"/>
      <c r="I53" s="664" t="s">
        <v>7</v>
      </c>
      <c r="J53" s="665" t="s">
        <v>8</v>
      </c>
      <c r="K53" s="434"/>
      <c r="L53" s="434"/>
      <c r="M53" s="435"/>
      <c r="N53" s="665" t="s">
        <v>9</v>
      </c>
      <c r="O53" s="434"/>
      <c r="P53" s="434"/>
      <c r="Q53" s="435"/>
      <c r="R53" s="300"/>
      <c r="S53" s="1"/>
    </row>
    <row r="54" spans="1:19" ht="15.75" customHeight="1" x14ac:dyDescent="0.25">
      <c r="A54" s="624"/>
      <c r="B54" s="622"/>
      <c r="C54" s="623"/>
      <c r="D54" s="624"/>
      <c r="E54" s="619"/>
      <c r="F54" s="239" t="s">
        <v>10</v>
      </c>
      <c r="G54" s="239" t="s">
        <v>11</v>
      </c>
      <c r="H54" s="239" t="s">
        <v>12</v>
      </c>
      <c r="I54" s="619"/>
      <c r="J54" s="90" t="s">
        <v>13</v>
      </c>
      <c r="K54" s="90" t="s">
        <v>14</v>
      </c>
      <c r="L54" s="90" t="s">
        <v>15</v>
      </c>
      <c r="M54" s="240" t="s">
        <v>16</v>
      </c>
      <c r="N54" s="241" t="s">
        <v>17</v>
      </c>
      <c r="O54" s="90" t="s">
        <v>18</v>
      </c>
      <c r="P54" s="90" t="s">
        <v>19</v>
      </c>
      <c r="Q54" s="240" t="s">
        <v>20</v>
      </c>
      <c r="R54" s="300"/>
      <c r="S54" s="1"/>
    </row>
    <row r="55" spans="1:19" ht="15.75" customHeight="1" x14ac:dyDescent="0.25">
      <c r="A55" s="301">
        <v>1</v>
      </c>
      <c r="B55" s="666">
        <v>2</v>
      </c>
      <c r="C55" s="434"/>
      <c r="D55" s="435"/>
      <c r="E55" s="242">
        <v>3</v>
      </c>
      <c r="F55" s="242">
        <v>4</v>
      </c>
      <c r="G55" s="242">
        <v>5</v>
      </c>
      <c r="H55" s="242">
        <v>6</v>
      </c>
      <c r="I55" s="243">
        <v>7</v>
      </c>
      <c r="J55" s="242">
        <v>8</v>
      </c>
      <c r="K55" s="242">
        <v>9</v>
      </c>
      <c r="L55" s="242">
        <v>10</v>
      </c>
      <c r="M55" s="244">
        <v>11</v>
      </c>
      <c r="N55" s="242">
        <v>12</v>
      </c>
      <c r="O55" s="242">
        <v>13</v>
      </c>
      <c r="P55" s="242">
        <v>14</v>
      </c>
      <c r="Q55" s="245">
        <v>15</v>
      </c>
      <c r="R55" s="302"/>
      <c r="S55" s="37"/>
    </row>
    <row r="56" spans="1:19" ht="15.75" customHeight="1" x14ac:dyDescent="0.25">
      <c r="A56" s="272"/>
      <c r="B56" s="474" t="s">
        <v>21</v>
      </c>
      <c r="C56" s="617"/>
      <c r="D56" s="618"/>
      <c r="E56" s="162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300"/>
      <c r="S56" s="1"/>
    </row>
    <row r="57" spans="1:19" ht="15.75" customHeight="1" x14ac:dyDescent="0.25">
      <c r="A57" s="133">
        <v>3</v>
      </c>
      <c r="B57" s="433" t="s">
        <v>56</v>
      </c>
      <c r="C57" s="434"/>
      <c r="D57" s="435"/>
      <c r="E57" s="246" t="s">
        <v>23</v>
      </c>
      <c r="F57" s="247">
        <v>5.8</v>
      </c>
      <c r="G57" s="247">
        <v>8.3000000000000007</v>
      </c>
      <c r="H57" s="247">
        <v>14.83</v>
      </c>
      <c r="I57" s="247">
        <v>157</v>
      </c>
      <c r="J57" s="247">
        <v>0.04</v>
      </c>
      <c r="K57" s="247">
        <v>0.04</v>
      </c>
      <c r="L57" s="247">
        <v>0.03</v>
      </c>
      <c r="M57" s="247">
        <v>0.11</v>
      </c>
      <c r="N57" s="247">
        <v>139.19999999999999</v>
      </c>
      <c r="O57" s="247">
        <v>9.4499999999999993</v>
      </c>
      <c r="P57" s="247">
        <v>96</v>
      </c>
      <c r="Q57" s="247">
        <v>0.49</v>
      </c>
      <c r="R57" s="248"/>
      <c r="S57" s="18"/>
    </row>
    <row r="58" spans="1:19" ht="15.75" customHeight="1" x14ac:dyDescent="0.25">
      <c r="A58" s="686">
        <v>183</v>
      </c>
      <c r="B58" s="628" t="s">
        <v>57</v>
      </c>
      <c r="C58" s="688"/>
      <c r="D58" s="689"/>
      <c r="E58" s="249">
        <v>250</v>
      </c>
      <c r="F58" s="661">
        <f>9.1*E58/200</f>
        <v>11.375</v>
      </c>
      <c r="G58" s="661">
        <f>5.74*E58/200</f>
        <v>7.1749999999999998</v>
      </c>
      <c r="H58" s="661">
        <f>45.03*E58/200</f>
        <v>56.287500000000001</v>
      </c>
      <c r="I58" s="661">
        <f>269*E58/200</f>
        <v>336.25</v>
      </c>
      <c r="J58" s="661">
        <v>0</v>
      </c>
      <c r="K58" s="661">
        <f>1.64*E58/200</f>
        <v>2.0499999999999998</v>
      </c>
      <c r="L58" s="661">
        <v>0</v>
      </c>
      <c r="M58" s="661">
        <v>0</v>
      </c>
      <c r="N58" s="661">
        <f>181.48*E58/200</f>
        <v>226.85</v>
      </c>
      <c r="O58" s="661">
        <v>0</v>
      </c>
      <c r="P58" s="661">
        <f>99.23*E58/200</f>
        <v>124.03749999999999</v>
      </c>
      <c r="Q58" s="661">
        <f>2.88*E58/200</f>
        <v>3.6</v>
      </c>
      <c r="R58" s="248"/>
      <c r="S58" s="18"/>
    </row>
    <row r="59" spans="1:19" ht="15.75" customHeight="1" x14ac:dyDescent="0.25">
      <c r="A59" s="687"/>
      <c r="B59" s="690"/>
      <c r="C59" s="691"/>
      <c r="D59" s="692"/>
      <c r="E59" s="250">
        <f>E58*5/100</f>
        <v>12.5</v>
      </c>
      <c r="F59" s="619"/>
      <c r="G59" s="619"/>
      <c r="H59" s="619"/>
      <c r="I59" s="619"/>
      <c r="J59" s="619"/>
      <c r="K59" s="619"/>
      <c r="L59" s="619"/>
      <c r="M59" s="619"/>
      <c r="N59" s="619"/>
      <c r="O59" s="619"/>
      <c r="P59" s="619"/>
      <c r="Q59" s="619"/>
      <c r="R59" s="248"/>
      <c r="S59" s="18"/>
    </row>
    <row r="60" spans="1:19" ht="15.75" customHeight="1" x14ac:dyDescent="0.25">
      <c r="A60" s="122" t="s">
        <v>27</v>
      </c>
      <c r="B60" s="433" t="s">
        <v>28</v>
      </c>
      <c r="C60" s="434"/>
      <c r="D60" s="435"/>
      <c r="E60" s="169">
        <v>45</v>
      </c>
      <c r="F60" s="215">
        <f>2.26*E60/30</f>
        <v>3.3899999999999997</v>
      </c>
      <c r="G60" s="215">
        <f>0.23*E60/30</f>
        <v>0.34499999999999997</v>
      </c>
      <c r="H60" s="215">
        <f>14.66*E60/30</f>
        <v>21.990000000000002</v>
      </c>
      <c r="I60" s="215">
        <f>68.86*E60/30</f>
        <v>103.28999999999999</v>
      </c>
      <c r="J60" s="215">
        <v>0</v>
      </c>
      <c r="K60" s="215">
        <v>0</v>
      </c>
      <c r="L60" s="215">
        <v>0</v>
      </c>
      <c r="M60" s="215">
        <v>0</v>
      </c>
      <c r="N60" s="215">
        <f>12.97*E60/30</f>
        <v>19.454999999999998</v>
      </c>
      <c r="O60" s="215">
        <v>0</v>
      </c>
      <c r="P60" s="215">
        <f>2.83*E60/30</f>
        <v>4.2450000000000001</v>
      </c>
      <c r="Q60" s="215">
        <f>0.74*E60/30</f>
        <v>1.1099999999999999</v>
      </c>
      <c r="R60" s="248"/>
      <c r="S60" s="18"/>
    </row>
    <row r="61" spans="1:19" ht="15.75" customHeight="1" x14ac:dyDescent="0.25">
      <c r="A61" s="158">
        <v>382</v>
      </c>
      <c r="B61" s="693" t="s">
        <v>58</v>
      </c>
      <c r="C61" s="434"/>
      <c r="D61" s="435"/>
      <c r="E61" s="251">
        <v>200</v>
      </c>
      <c r="F61" s="252">
        <v>3.76</v>
      </c>
      <c r="G61" s="252">
        <v>3.2</v>
      </c>
      <c r="H61" s="252">
        <v>17.57</v>
      </c>
      <c r="I61" s="252">
        <v>114.12</v>
      </c>
      <c r="J61" s="252">
        <v>0</v>
      </c>
      <c r="K61" s="252">
        <v>1.58</v>
      </c>
      <c r="L61" s="252">
        <v>0</v>
      </c>
      <c r="M61" s="252">
        <v>0</v>
      </c>
      <c r="N61" s="252">
        <v>152.22</v>
      </c>
      <c r="O61" s="252">
        <v>0</v>
      </c>
      <c r="P61" s="252">
        <v>21.34</v>
      </c>
      <c r="Q61" s="252">
        <v>0.47</v>
      </c>
      <c r="R61" s="253"/>
      <c r="S61" s="29"/>
    </row>
    <row r="62" spans="1:19" ht="16.5" customHeight="1" x14ac:dyDescent="0.25">
      <c r="A62" s="122"/>
      <c r="B62" s="614" t="s">
        <v>29</v>
      </c>
      <c r="C62" s="615"/>
      <c r="D62" s="616"/>
      <c r="E62" s="162">
        <f>SUM(E57:E61)+5+15+30</f>
        <v>557.5</v>
      </c>
      <c r="F62" s="215">
        <f t="shared" ref="F62:Q62" si="8">SUM(F57:F61)</f>
        <v>24.325000000000003</v>
      </c>
      <c r="G62" s="215">
        <f t="shared" si="8"/>
        <v>19.020000000000003</v>
      </c>
      <c r="H62" s="215">
        <f t="shared" si="8"/>
        <v>110.67750000000001</v>
      </c>
      <c r="I62" s="215">
        <f t="shared" si="8"/>
        <v>710.66</v>
      </c>
      <c r="J62" s="215">
        <f t="shared" si="8"/>
        <v>0.04</v>
      </c>
      <c r="K62" s="215">
        <f t="shared" si="8"/>
        <v>3.67</v>
      </c>
      <c r="L62" s="215">
        <f t="shared" si="8"/>
        <v>0.03</v>
      </c>
      <c r="M62" s="215">
        <f t="shared" si="8"/>
        <v>0.11</v>
      </c>
      <c r="N62" s="215">
        <f t="shared" si="8"/>
        <v>537.72499999999991</v>
      </c>
      <c r="O62" s="215">
        <f t="shared" si="8"/>
        <v>9.4499999999999993</v>
      </c>
      <c r="P62" s="215">
        <f t="shared" si="8"/>
        <v>245.6225</v>
      </c>
      <c r="Q62" s="215">
        <f t="shared" si="8"/>
        <v>5.669999999999999</v>
      </c>
      <c r="R62" s="254"/>
      <c r="S62" s="17"/>
    </row>
    <row r="63" spans="1:19" ht="15.75" customHeight="1" x14ac:dyDescent="0.25">
      <c r="A63" s="272"/>
      <c r="B63" s="474" t="s">
        <v>30</v>
      </c>
      <c r="C63" s="617"/>
      <c r="D63" s="618"/>
      <c r="E63" s="162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300"/>
      <c r="S63" s="1"/>
    </row>
    <row r="64" spans="1:19" ht="32.25" customHeight="1" x14ac:dyDescent="0.25">
      <c r="A64" s="133">
        <v>338</v>
      </c>
      <c r="B64" s="433" t="s">
        <v>59</v>
      </c>
      <c r="C64" s="434"/>
      <c r="D64" s="435"/>
      <c r="E64" s="122">
        <v>300</v>
      </c>
      <c r="F64" s="122">
        <f>3.75*E64/300</f>
        <v>3.75</v>
      </c>
      <c r="G64" s="255">
        <f>1.5*E64/300</f>
        <v>1.5</v>
      </c>
      <c r="H64" s="122">
        <f>52.5*E64/300</f>
        <v>52.5</v>
      </c>
      <c r="I64" s="122">
        <f>240*E64/300</f>
        <v>240</v>
      </c>
      <c r="J64" s="122">
        <v>0</v>
      </c>
      <c r="K64" s="122">
        <f>25*E64/300</f>
        <v>25</v>
      </c>
      <c r="L64" s="122">
        <v>0</v>
      </c>
      <c r="M64" s="122">
        <v>0</v>
      </c>
      <c r="N64" s="122">
        <f>20*E64/300</f>
        <v>20</v>
      </c>
      <c r="O64" s="122">
        <v>0</v>
      </c>
      <c r="P64" s="122">
        <f>105*E64/300</f>
        <v>105</v>
      </c>
      <c r="Q64" s="122">
        <f>1.5*E64/300</f>
        <v>1.5</v>
      </c>
      <c r="R64" s="253"/>
      <c r="S64" s="29"/>
    </row>
    <row r="65" spans="1:19" ht="15.75" customHeight="1" x14ac:dyDescent="0.25">
      <c r="A65" s="145"/>
      <c r="B65" s="614" t="s">
        <v>32</v>
      </c>
      <c r="C65" s="629"/>
      <c r="D65" s="630"/>
      <c r="E65" s="162">
        <f>E64</f>
        <v>300</v>
      </c>
      <c r="F65" s="215">
        <f t="shared" ref="F65:I65" si="9">SUM(F64)</f>
        <v>3.75</v>
      </c>
      <c r="G65" s="215">
        <f t="shared" si="9"/>
        <v>1.5</v>
      </c>
      <c r="H65" s="215">
        <f t="shared" si="9"/>
        <v>52.5</v>
      </c>
      <c r="I65" s="215">
        <f t="shared" si="9"/>
        <v>240</v>
      </c>
      <c r="J65" s="215">
        <f>J64</f>
        <v>0</v>
      </c>
      <c r="K65" s="215">
        <f t="shared" ref="K65:Q65" si="10">SUM(K64)</f>
        <v>25</v>
      </c>
      <c r="L65" s="215">
        <f t="shared" si="10"/>
        <v>0</v>
      </c>
      <c r="M65" s="215">
        <f t="shared" si="10"/>
        <v>0</v>
      </c>
      <c r="N65" s="215">
        <f t="shared" si="10"/>
        <v>20</v>
      </c>
      <c r="O65" s="215">
        <f t="shared" si="10"/>
        <v>0</v>
      </c>
      <c r="P65" s="215">
        <f t="shared" si="10"/>
        <v>105</v>
      </c>
      <c r="Q65" s="215">
        <f t="shared" si="10"/>
        <v>1.5</v>
      </c>
      <c r="R65" s="254"/>
      <c r="S65" s="17"/>
    </row>
    <row r="66" spans="1:19" ht="15.75" customHeight="1" x14ac:dyDescent="0.25">
      <c r="A66" s="272"/>
      <c r="B66" s="474" t="s">
        <v>33</v>
      </c>
      <c r="C66" s="617"/>
      <c r="D66" s="618"/>
      <c r="E66" s="162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53"/>
      <c r="S66" s="29"/>
    </row>
    <row r="67" spans="1:19" ht="15.75" customHeight="1" x14ac:dyDescent="0.25">
      <c r="A67" s="133">
        <v>71</v>
      </c>
      <c r="B67" s="433" t="s">
        <v>60</v>
      </c>
      <c r="C67" s="434"/>
      <c r="D67" s="435"/>
      <c r="E67" s="133">
        <v>80</v>
      </c>
      <c r="F67" s="256">
        <v>1.2</v>
      </c>
      <c r="G67" s="256">
        <v>0</v>
      </c>
      <c r="H67" s="256">
        <v>4.5999999999999996</v>
      </c>
      <c r="I67" s="256">
        <v>23.2</v>
      </c>
      <c r="J67" s="257">
        <v>26</v>
      </c>
      <c r="K67" s="258">
        <v>0.06</v>
      </c>
      <c r="L67" s="258">
        <v>0.5</v>
      </c>
      <c r="M67" s="259">
        <v>25</v>
      </c>
      <c r="N67" s="259">
        <v>14</v>
      </c>
      <c r="O67" s="259">
        <v>9.34</v>
      </c>
      <c r="P67" s="259">
        <v>0</v>
      </c>
      <c r="Q67" s="259">
        <v>0.9</v>
      </c>
      <c r="R67" s="260"/>
      <c r="S67" s="24"/>
    </row>
    <row r="68" spans="1:19" ht="15.75" customHeight="1" x14ac:dyDescent="0.25">
      <c r="A68" s="133">
        <v>71</v>
      </c>
      <c r="B68" s="433" t="s">
        <v>61</v>
      </c>
      <c r="C68" s="434"/>
      <c r="D68" s="435"/>
      <c r="E68" s="261">
        <v>100</v>
      </c>
      <c r="F68" s="262">
        <v>0.8</v>
      </c>
      <c r="G68" s="262">
        <v>0.1</v>
      </c>
      <c r="H68" s="262">
        <v>2.6</v>
      </c>
      <c r="I68" s="262">
        <v>17</v>
      </c>
      <c r="J68" s="263">
        <v>0.03</v>
      </c>
      <c r="K68" s="262">
        <v>0.1</v>
      </c>
      <c r="L68" s="262">
        <v>10</v>
      </c>
      <c r="M68" s="262">
        <v>10.1</v>
      </c>
      <c r="N68" s="262">
        <v>23</v>
      </c>
      <c r="O68" s="262">
        <v>20.8</v>
      </c>
      <c r="P68" s="262">
        <v>14</v>
      </c>
      <c r="Q68" s="262">
        <v>0.32</v>
      </c>
      <c r="R68" s="254"/>
      <c r="S68" s="17"/>
    </row>
    <row r="69" spans="1:19" ht="15.75" customHeight="1" x14ac:dyDescent="0.25">
      <c r="A69" s="133">
        <v>108</v>
      </c>
      <c r="B69" s="433" t="s">
        <v>62</v>
      </c>
      <c r="C69" s="434"/>
      <c r="D69" s="435"/>
      <c r="E69" s="261">
        <v>250</v>
      </c>
      <c r="F69" s="262">
        <f>5.23*E69/250</f>
        <v>5.23</v>
      </c>
      <c r="G69" s="262">
        <f>6.28*E69/250</f>
        <v>6.28</v>
      </c>
      <c r="H69" s="262">
        <f>29*E69/250</f>
        <v>29</v>
      </c>
      <c r="I69" s="262">
        <f>193.5*E69/250</f>
        <v>193.5</v>
      </c>
      <c r="J69" s="262">
        <f>0*E69/250</f>
        <v>0</v>
      </c>
      <c r="K69" s="262">
        <f>3.98*E69/250</f>
        <v>3.98</v>
      </c>
      <c r="L69" s="262">
        <f>0*E69/250</f>
        <v>0</v>
      </c>
      <c r="M69" s="262">
        <f>0*E69/250</f>
        <v>0</v>
      </c>
      <c r="N69" s="262">
        <f>26.58*E69/250</f>
        <v>26.58</v>
      </c>
      <c r="O69" s="262">
        <f>0*E69/250</f>
        <v>0</v>
      </c>
      <c r="P69" s="262">
        <f>18.43*E69/250</f>
        <v>18.43</v>
      </c>
      <c r="Q69" s="262">
        <f>0.31*E69/250</f>
        <v>0.31</v>
      </c>
      <c r="R69" s="254"/>
      <c r="S69" s="17"/>
    </row>
    <row r="70" spans="1:19" ht="30" customHeight="1" x14ac:dyDescent="0.25">
      <c r="A70" s="695">
        <v>229</v>
      </c>
      <c r="B70" s="697" t="s">
        <v>63</v>
      </c>
      <c r="C70" s="620"/>
      <c r="D70" s="621"/>
      <c r="E70" s="264">
        <v>120</v>
      </c>
      <c r="F70" s="698">
        <f>30.8*E70/100</f>
        <v>36.96</v>
      </c>
      <c r="G70" s="694">
        <f>33.8*E70/100</f>
        <v>40.559999999999995</v>
      </c>
      <c r="H70" s="694">
        <f>7.4*E70/100</f>
        <v>8.8800000000000008</v>
      </c>
      <c r="I70" s="694">
        <f>455.02*E70/100</f>
        <v>546.02399999999989</v>
      </c>
      <c r="J70" s="694">
        <f>0*E70/100</f>
        <v>0</v>
      </c>
      <c r="K70" s="694">
        <f>1.84*E70/100</f>
        <v>2.2080000000000002</v>
      </c>
      <c r="L70" s="694">
        <f>0*E70/100</f>
        <v>0</v>
      </c>
      <c r="M70" s="694">
        <f>0*E70/100</f>
        <v>0</v>
      </c>
      <c r="N70" s="694">
        <f>43.62*E70/100</f>
        <v>52.343999999999994</v>
      </c>
      <c r="O70" s="694">
        <f>0*E70/100</f>
        <v>0</v>
      </c>
      <c r="P70" s="694">
        <f>44.06*E70/100</f>
        <v>52.872000000000007</v>
      </c>
      <c r="Q70" s="694">
        <f>6.12*E70/100</f>
        <v>7.3439999999999994</v>
      </c>
      <c r="R70" s="265"/>
      <c r="S70" s="39"/>
    </row>
    <row r="71" spans="1:19" ht="15.75" customHeight="1" x14ac:dyDescent="0.25">
      <c r="A71" s="696"/>
      <c r="B71" s="622"/>
      <c r="C71" s="623"/>
      <c r="D71" s="624"/>
      <c r="E71" s="137">
        <v>100</v>
      </c>
      <c r="F71" s="699"/>
      <c r="G71" s="619"/>
      <c r="H71" s="619"/>
      <c r="I71" s="619"/>
      <c r="J71" s="619"/>
      <c r="K71" s="619"/>
      <c r="L71" s="619"/>
      <c r="M71" s="619"/>
      <c r="N71" s="619"/>
      <c r="O71" s="619"/>
      <c r="P71" s="619"/>
      <c r="Q71" s="619"/>
      <c r="R71" s="253"/>
      <c r="S71" s="29"/>
    </row>
    <row r="72" spans="1:19" ht="15.75" customHeight="1" x14ac:dyDescent="0.25">
      <c r="A72" s="140">
        <v>312</v>
      </c>
      <c r="B72" s="433" t="s">
        <v>64</v>
      </c>
      <c r="C72" s="434"/>
      <c r="D72" s="435"/>
      <c r="E72" s="137">
        <v>220</v>
      </c>
      <c r="F72" s="215">
        <f>4.16*E72/200</f>
        <v>4.5760000000000005</v>
      </c>
      <c r="G72" s="215">
        <f>6.8*E72/200</f>
        <v>7.48</v>
      </c>
      <c r="H72" s="215">
        <f>24.76*E72/200</f>
        <v>27.236000000000004</v>
      </c>
      <c r="I72" s="215">
        <f>176.88*E72/200</f>
        <v>194.56799999999998</v>
      </c>
      <c r="J72" s="215">
        <f>0*E72/200</f>
        <v>0</v>
      </c>
      <c r="K72" s="215">
        <f>23.7*E72/200</f>
        <v>26.07</v>
      </c>
      <c r="L72" s="215">
        <f>0*E72/200</f>
        <v>0</v>
      </c>
      <c r="M72" s="215">
        <f>0*E72/200</f>
        <v>0</v>
      </c>
      <c r="N72" s="215">
        <f>49.54*E72/200</f>
        <v>54.494</v>
      </c>
      <c r="O72" s="215">
        <f>0*E72/200</f>
        <v>0</v>
      </c>
      <c r="P72" s="215">
        <f>31.32*E72/200</f>
        <v>34.451999999999998</v>
      </c>
      <c r="Q72" s="215">
        <f>1.09*E72/200</f>
        <v>1.1990000000000001</v>
      </c>
      <c r="R72" s="253"/>
      <c r="S72" s="29"/>
    </row>
    <row r="73" spans="1:19" ht="15.75" customHeight="1" x14ac:dyDescent="0.25">
      <c r="A73" s="122">
        <v>389</v>
      </c>
      <c r="B73" s="433" t="s">
        <v>47</v>
      </c>
      <c r="C73" s="434"/>
      <c r="D73" s="435"/>
      <c r="E73" s="261">
        <v>200</v>
      </c>
      <c r="F73" s="247">
        <v>1</v>
      </c>
      <c r="G73" s="247">
        <v>0</v>
      </c>
      <c r="H73" s="247">
        <v>20.2</v>
      </c>
      <c r="I73" s="247">
        <v>84.8</v>
      </c>
      <c r="J73" s="247">
        <v>0</v>
      </c>
      <c r="K73" s="247">
        <v>4</v>
      </c>
      <c r="L73" s="247">
        <v>0</v>
      </c>
      <c r="M73" s="247">
        <v>0</v>
      </c>
      <c r="N73" s="247">
        <v>14</v>
      </c>
      <c r="O73" s="247">
        <v>0</v>
      </c>
      <c r="P73" s="247">
        <v>8</v>
      </c>
      <c r="Q73" s="247">
        <v>2.8</v>
      </c>
      <c r="R73" s="265"/>
      <c r="S73" s="39"/>
    </row>
    <row r="74" spans="1:19" ht="15.75" customHeight="1" x14ac:dyDescent="0.25">
      <c r="A74" s="122" t="s">
        <v>27</v>
      </c>
      <c r="B74" s="266" t="s">
        <v>39</v>
      </c>
      <c r="C74" s="266"/>
      <c r="D74" s="266"/>
      <c r="E74" s="169">
        <v>120</v>
      </c>
      <c r="F74" s="215">
        <f>4.03*E74/50</f>
        <v>9.6720000000000006</v>
      </c>
      <c r="G74" s="215">
        <f>0.5*E74/50</f>
        <v>1.2</v>
      </c>
      <c r="H74" s="215">
        <f>22.36*E74/50</f>
        <v>53.663999999999994</v>
      </c>
      <c r="I74" s="215">
        <f>98.86*E74/50</f>
        <v>237.26400000000001</v>
      </c>
      <c r="J74" s="215">
        <v>0</v>
      </c>
      <c r="K74" s="215">
        <v>0</v>
      </c>
      <c r="L74" s="215">
        <v>0</v>
      </c>
      <c r="M74" s="215">
        <v>0</v>
      </c>
      <c r="N74" s="215">
        <f>17.59*E74/50</f>
        <v>42.216000000000001</v>
      </c>
      <c r="O74" s="215">
        <v>0</v>
      </c>
      <c r="P74" s="215">
        <f>1.89*E74/50</f>
        <v>4.5359999999999996</v>
      </c>
      <c r="Q74" s="215">
        <f>0.88*E74/50</f>
        <v>2.1120000000000001</v>
      </c>
      <c r="R74" s="254"/>
      <c r="S74" s="17"/>
    </row>
    <row r="75" spans="1:19" ht="15.75" customHeight="1" x14ac:dyDescent="0.25">
      <c r="A75" s="122" t="s">
        <v>27</v>
      </c>
      <c r="B75" s="433" t="s">
        <v>28</v>
      </c>
      <c r="C75" s="434"/>
      <c r="D75" s="435"/>
      <c r="E75" s="169">
        <v>45</v>
      </c>
      <c r="F75" s="215">
        <f>2.26*E75/30</f>
        <v>3.3899999999999997</v>
      </c>
      <c r="G75" s="215">
        <f>0.23*E75/30</f>
        <v>0.34499999999999997</v>
      </c>
      <c r="H75" s="215">
        <f>14.66*E75/30</f>
        <v>21.990000000000002</v>
      </c>
      <c r="I75" s="215">
        <f>68.86*E75/30</f>
        <v>103.28999999999999</v>
      </c>
      <c r="J75" s="215">
        <v>0</v>
      </c>
      <c r="K75" s="215">
        <v>0</v>
      </c>
      <c r="L75" s="215">
        <v>0</v>
      </c>
      <c r="M75" s="215">
        <v>0</v>
      </c>
      <c r="N75" s="215">
        <f>12.97*E75/30</f>
        <v>19.454999999999998</v>
      </c>
      <c r="O75" s="215">
        <v>0</v>
      </c>
      <c r="P75" s="215">
        <f>2.83*E75/30</f>
        <v>4.2450000000000001</v>
      </c>
      <c r="Q75" s="215">
        <f>0.74*E75/30</f>
        <v>1.1099999999999999</v>
      </c>
      <c r="R75" s="254"/>
      <c r="S75" s="17"/>
    </row>
    <row r="76" spans="1:19" ht="15.75" customHeight="1" x14ac:dyDescent="0.25">
      <c r="A76" s="122"/>
      <c r="B76" s="614" t="s">
        <v>65</v>
      </c>
      <c r="C76" s="615"/>
      <c r="D76" s="616"/>
      <c r="E76" s="162">
        <f t="shared" ref="E76:Q76" si="11">SUM(E67:E75)</f>
        <v>1235</v>
      </c>
      <c r="F76" s="215">
        <f t="shared" si="11"/>
        <v>62.828000000000003</v>
      </c>
      <c r="G76" s="215">
        <f t="shared" si="11"/>
        <v>55.965000000000003</v>
      </c>
      <c r="H76" s="215">
        <f t="shared" si="11"/>
        <v>168.17000000000002</v>
      </c>
      <c r="I76" s="215">
        <f t="shared" si="11"/>
        <v>1399.6459999999997</v>
      </c>
      <c r="J76" s="215">
        <f t="shared" si="11"/>
        <v>26.03</v>
      </c>
      <c r="K76" s="215">
        <f t="shared" si="11"/>
        <v>36.417999999999999</v>
      </c>
      <c r="L76" s="215">
        <f t="shared" si="11"/>
        <v>10.5</v>
      </c>
      <c r="M76" s="215">
        <f t="shared" si="11"/>
        <v>35.1</v>
      </c>
      <c r="N76" s="215">
        <f t="shared" si="11"/>
        <v>246.089</v>
      </c>
      <c r="O76" s="215">
        <f t="shared" si="11"/>
        <v>30.14</v>
      </c>
      <c r="P76" s="215">
        <f t="shared" si="11"/>
        <v>136.535</v>
      </c>
      <c r="Q76" s="215">
        <f t="shared" si="11"/>
        <v>16.094999999999999</v>
      </c>
      <c r="R76" s="254"/>
      <c r="S76" s="17"/>
    </row>
    <row r="77" spans="1:19" ht="15.75" customHeight="1" x14ac:dyDescent="0.25">
      <c r="A77" s="272"/>
      <c r="B77" s="700" t="s">
        <v>41</v>
      </c>
      <c r="C77" s="617"/>
      <c r="D77" s="618"/>
      <c r="E77" s="162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53"/>
      <c r="S77" s="29"/>
    </row>
    <row r="78" spans="1:19" ht="15.75" customHeight="1" x14ac:dyDescent="0.25">
      <c r="A78" s="203">
        <v>415</v>
      </c>
      <c r="B78" s="701" t="s">
        <v>66</v>
      </c>
      <c r="C78" s="434"/>
      <c r="D78" s="435"/>
      <c r="E78" s="87">
        <v>150</v>
      </c>
      <c r="F78" s="172">
        <v>3.67</v>
      </c>
      <c r="G78" s="172">
        <v>11.2</v>
      </c>
      <c r="H78" s="172">
        <v>31.4</v>
      </c>
      <c r="I78" s="172">
        <v>221.3</v>
      </c>
      <c r="J78" s="172">
        <v>0</v>
      </c>
      <c r="K78" s="172">
        <v>0</v>
      </c>
      <c r="L78" s="172">
        <v>0</v>
      </c>
      <c r="M78" s="172">
        <v>0</v>
      </c>
      <c r="N78" s="172">
        <v>19.399999999999999</v>
      </c>
      <c r="O78" s="172">
        <v>0</v>
      </c>
      <c r="P78" s="172">
        <v>24.4</v>
      </c>
      <c r="Q78" s="172">
        <v>1.28</v>
      </c>
      <c r="R78" s="267"/>
      <c r="S78" s="21"/>
    </row>
    <row r="79" spans="1:19" ht="15.75" customHeight="1" x14ac:dyDescent="0.25">
      <c r="A79" s="122">
        <v>385</v>
      </c>
      <c r="B79" s="433" t="s">
        <v>42</v>
      </c>
      <c r="C79" s="434"/>
      <c r="D79" s="435"/>
      <c r="E79" s="162">
        <v>200</v>
      </c>
      <c r="F79" s="215">
        <v>5.8</v>
      </c>
      <c r="G79" s="215">
        <v>5</v>
      </c>
      <c r="H79" s="215">
        <v>9.6</v>
      </c>
      <c r="I79" s="215">
        <v>107.8</v>
      </c>
      <c r="J79" s="215">
        <v>0</v>
      </c>
      <c r="K79" s="215">
        <v>2.6</v>
      </c>
      <c r="L79" s="215">
        <v>0</v>
      </c>
      <c r="M79" s="215">
        <v>0</v>
      </c>
      <c r="N79" s="215">
        <v>240</v>
      </c>
      <c r="O79" s="215">
        <v>0</v>
      </c>
      <c r="P79" s="215">
        <v>28</v>
      </c>
      <c r="Q79" s="215">
        <v>0.2</v>
      </c>
      <c r="R79" s="253"/>
      <c r="S79" s="29"/>
    </row>
    <row r="80" spans="1:19" ht="15.75" customHeight="1" x14ac:dyDescent="0.25">
      <c r="A80" s="122"/>
      <c r="B80" s="614" t="s">
        <v>67</v>
      </c>
      <c r="C80" s="615"/>
      <c r="D80" s="616"/>
      <c r="E80" s="162">
        <f>SUM(100+E79)</f>
        <v>300</v>
      </c>
      <c r="F80" s="215">
        <f t="shared" ref="F80:K80" si="12">SUM(F78:F79)</f>
        <v>9.4699999999999989</v>
      </c>
      <c r="G80" s="215">
        <f t="shared" si="12"/>
        <v>16.2</v>
      </c>
      <c r="H80" s="215">
        <f t="shared" si="12"/>
        <v>41</v>
      </c>
      <c r="I80" s="215">
        <f t="shared" si="12"/>
        <v>329.1</v>
      </c>
      <c r="J80" s="215">
        <f t="shared" si="12"/>
        <v>0</v>
      </c>
      <c r="K80" s="215">
        <f t="shared" si="12"/>
        <v>2.6</v>
      </c>
      <c r="L80" s="215">
        <f t="shared" ref="L80:N80" si="13">L78+L79</f>
        <v>0</v>
      </c>
      <c r="M80" s="215">
        <f t="shared" si="13"/>
        <v>0</v>
      </c>
      <c r="N80" s="215">
        <f t="shared" si="13"/>
        <v>259.39999999999998</v>
      </c>
      <c r="O80" s="215">
        <f>SUM(O78:O79)</f>
        <v>0</v>
      </c>
      <c r="P80" s="215">
        <f t="shared" ref="P80:Q80" si="14">P78+P79</f>
        <v>52.4</v>
      </c>
      <c r="Q80" s="215">
        <f t="shared" si="14"/>
        <v>1.48</v>
      </c>
      <c r="R80" s="254"/>
      <c r="S80" s="17"/>
    </row>
    <row r="81" spans="1:19" ht="16.5" customHeight="1" x14ac:dyDescent="0.25">
      <c r="A81" s="272"/>
      <c r="B81" s="474" t="s">
        <v>44</v>
      </c>
      <c r="C81" s="617"/>
      <c r="D81" s="618"/>
      <c r="E81" s="162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53"/>
      <c r="S81" s="29"/>
    </row>
    <row r="82" spans="1:19" ht="15.75" customHeight="1" x14ac:dyDescent="0.25">
      <c r="A82" s="122">
        <v>71</v>
      </c>
      <c r="B82" s="433" t="s">
        <v>61</v>
      </c>
      <c r="C82" s="434"/>
      <c r="D82" s="435"/>
      <c r="E82" s="162">
        <v>100</v>
      </c>
      <c r="F82" s="215">
        <f>1.2*E82/100</f>
        <v>1.2</v>
      </c>
      <c r="G82" s="215">
        <f>0*E82/100</f>
        <v>0</v>
      </c>
      <c r="H82" s="215">
        <f>4.6*E82/100</f>
        <v>4.5999999999999996</v>
      </c>
      <c r="I82" s="215">
        <f>23.2*E82/100</f>
        <v>23.2</v>
      </c>
      <c r="J82" s="215">
        <f t="shared" ref="J82:J83" si="15">0*E82/100</f>
        <v>0</v>
      </c>
      <c r="K82" s="215">
        <f>25*E82/100</f>
        <v>25</v>
      </c>
      <c r="L82" s="215">
        <v>0</v>
      </c>
      <c r="M82" s="215">
        <v>0</v>
      </c>
      <c r="N82" s="215">
        <f>14*E82/100</f>
        <v>14</v>
      </c>
      <c r="O82" s="215">
        <v>0</v>
      </c>
      <c r="P82" s="215">
        <f>9.34*E82/100</f>
        <v>9.34</v>
      </c>
      <c r="Q82" s="215">
        <f>0.9*E82/100</f>
        <v>0.9</v>
      </c>
      <c r="R82" s="254"/>
      <c r="S82" s="17"/>
    </row>
    <row r="83" spans="1:19" ht="15.75" customHeight="1" x14ac:dyDescent="0.25">
      <c r="A83" s="577" t="s">
        <v>68</v>
      </c>
      <c r="B83" s="579" t="s">
        <v>69</v>
      </c>
      <c r="C83" s="620"/>
      <c r="D83" s="621"/>
      <c r="E83" s="162">
        <v>120</v>
      </c>
      <c r="F83" s="625">
        <f>23.56*E83/100</f>
        <v>28.271999999999998</v>
      </c>
      <c r="G83" s="625">
        <f>20.24*E83/100</f>
        <v>24.287999999999997</v>
      </c>
      <c r="H83" s="625">
        <f>5.86*E83/100</f>
        <v>7.032</v>
      </c>
      <c r="I83" s="625">
        <f>300*E83/100</f>
        <v>360</v>
      </c>
      <c r="J83" s="625">
        <f t="shared" si="15"/>
        <v>0</v>
      </c>
      <c r="K83" s="625">
        <f>0.03*E83/100</f>
        <v>3.5999999999999997E-2</v>
      </c>
      <c r="L83" s="625">
        <f>0*E83/100</f>
        <v>0</v>
      </c>
      <c r="M83" s="625">
        <f>0*E83/100</f>
        <v>0</v>
      </c>
      <c r="N83" s="625">
        <f>90.8*E83/100</f>
        <v>108.96</v>
      </c>
      <c r="O83" s="625">
        <f>0*E83/100</f>
        <v>0</v>
      </c>
      <c r="P83" s="625">
        <f>33.83*E83/100</f>
        <v>40.595999999999997</v>
      </c>
      <c r="Q83" s="625">
        <f>2.7*E83/100</f>
        <v>3.24</v>
      </c>
      <c r="R83" s="253"/>
      <c r="S83" s="29"/>
    </row>
    <row r="84" spans="1:19" ht="15.75" customHeight="1" x14ac:dyDescent="0.25">
      <c r="A84" s="619"/>
      <c r="B84" s="622"/>
      <c r="C84" s="623"/>
      <c r="D84" s="624"/>
      <c r="E84" s="162">
        <f>E83</f>
        <v>120</v>
      </c>
      <c r="F84" s="619"/>
      <c r="G84" s="619"/>
      <c r="H84" s="619"/>
      <c r="I84" s="619"/>
      <c r="J84" s="619"/>
      <c r="K84" s="619"/>
      <c r="L84" s="619"/>
      <c r="M84" s="619"/>
      <c r="N84" s="619"/>
      <c r="O84" s="619"/>
      <c r="P84" s="619"/>
      <c r="Q84" s="619"/>
      <c r="R84" s="253"/>
      <c r="S84" s="29"/>
    </row>
    <row r="85" spans="1:19" ht="15.75" customHeight="1" x14ac:dyDescent="0.25">
      <c r="A85" s="627">
        <v>171</v>
      </c>
      <c r="B85" s="628" t="s">
        <v>70</v>
      </c>
      <c r="C85" s="620"/>
      <c r="D85" s="621"/>
      <c r="E85" s="116">
        <v>200</v>
      </c>
      <c r="F85" s="626">
        <f>11.05*(E85+E86)/(190+10)</f>
        <v>11.63123</v>
      </c>
      <c r="G85" s="626">
        <f>11.93*(E85+E86)/(190+10)</f>
        <v>12.557518</v>
      </c>
      <c r="H85" s="626">
        <f>46.07*(E85+E86)/(190+10)</f>
        <v>48.493282000000001</v>
      </c>
      <c r="I85" s="626">
        <f>350*(E85+E86)/(190+10)</f>
        <v>368.41</v>
      </c>
      <c r="J85" s="626">
        <v>0</v>
      </c>
      <c r="K85" s="626">
        <v>0</v>
      </c>
      <c r="L85" s="626">
        <v>0</v>
      </c>
      <c r="M85" s="626">
        <v>0</v>
      </c>
      <c r="N85" s="626">
        <f>32.97*(E85+E86)/(190+10)</f>
        <v>34.704222000000001</v>
      </c>
      <c r="O85" s="626">
        <v>0</v>
      </c>
      <c r="P85" s="626">
        <f>175.64*(E85+E86)/(190+10)</f>
        <v>184.87866399999999</v>
      </c>
      <c r="Q85" s="626">
        <f>5.9*(E85+E86)/(190+10)</f>
        <v>6.2103400000000013</v>
      </c>
      <c r="R85" s="253"/>
      <c r="S85" s="29"/>
    </row>
    <row r="86" spans="1:19" ht="15.75" customHeight="1" x14ac:dyDescent="0.25">
      <c r="A86" s="619"/>
      <c r="B86" s="622"/>
      <c r="C86" s="623"/>
      <c r="D86" s="624"/>
      <c r="E86" s="162">
        <f>E85*5.26/100</f>
        <v>10.52</v>
      </c>
      <c r="F86" s="619"/>
      <c r="G86" s="619"/>
      <c r="H86" s="619"/>
      <c r="I86" s="619"/>
      <c r="J86" s="619"/>
      <c r="K86" s="619"/>
      <c r="L86" s="619"/>
      <c r="M86" s="619"/>
      <c r="N86" s="619"/>
      <c r="O86" s="619"/>
      <c r="P86" s="619"/>
      <c r="Q86" s="619"/>
      <c r="R86" s="253"/>
      <c r="S86" s="29"/>
    </row>
    <row r="87" spans="1:19" ht="15.75" customHeight="1" x14ac:dyDescent="0.25">
      <c r="A87" s="122" t="s">
        <v>27</v>
      </c>
      <c r="B87" s="266" t="s">
        <v>39</v>
      </c>
      <c r="C87" s="266"/>
      <c r="D87" s="266"/>
      <c r="E87" s="169">
        <v>75</v>
      </c>
      <c r="F87" s="215">
        <f>4.03*E87/50</f>
        <v>6.0449999999999999</v>
      </c>
      <c r="G87" s="215">
        <f>0.5*E87/50</f>
        <v>0.75</v>
      </c>
      <c r="H87" s="215">
        <f>22.36*E87/50</f>
        <v>33.54</v>
      </c>
      <c r="I87" s="215">
        <f>98.86*E87/50</f>
        <v>148.29</v>
      </c>
      <c r="J87" s="215">
        <v>0</v>
      </c>
      <c r="K87" s="215">
        <v>0</v>
      </c>
      <c r="L87" s="215">
        <v>0</v>
      </c>
      <c r="M87" s="215">
        <v>0</v>
      </c>
      <c r="N87" s="215">
        <f>17.59*E87/50</f>
        <v>26.385000000000002</v>
      </c>
      <c r="O87" s="215">
        <v>0</v>
      </c>
      <c r="P87" s="215">
        <f>1.89*E87/50</f>
        <v>2.835</v>
      </c>
      <c r="Q87" s="215">
        <f>0.88*E87/50</f>
        <v>1.32</v>
      </c>
      <c r="R87" s="253"/>
      <c r="S87" s="29"/>
    </row>
    <row r="88" spans="1:19" ht="15.75" customHeight="1" x14ac:dyDescent="0.25">
      <c r="A88" s="122" t="s">
        <v>27</v>
      </c>
      <c r="B88" s="433" t="s">
        <v>28</v>
      </c>
      <c r="C88" s="434"/>
      <c r="D88" s="435"/>
      <c r="E88" s="169">
        <v>45</v>
      </c>
      <c r="F88" s="215">
        <f>2.26*E88/30</f>
        <v>3.3899999999999997</v>
      </c>
      <c r="G88" s="215">
        <f>0.23*E88/30</f>
        <v>0.34499999999999997</v>
      </c>
      <c r="H88" s="215">
        <f>14.66*E88/30</f>
        <v>21.990000000000002</v>
      </c>
      <c r="I88" s="215">
        <f>68.86*E88/30</f>
        <v>103.28999999999999</v>
      </c>
      <c r="J88" s="215">
        <v>0</v>
      </c>
      <c r="K88" s="215">
        <v>0</v>
      </c>
      <c r="L88" s="215">
        <v>0</v>
      </c>
      <c r="M88" s="215">
        <v>0</v>
      </c>
      <c r="N88" s="215">
        <f>12.97*E88/30</f>
        <v>19.454999999999998</v>
      </c>
      <c r="O88" s="215">
        <v>0</v>
      </c>
      <c r="P88" s="215">
        <f>2.83*E88/30</f>
        <v>4.2450000000000001</v>
      </c>
      <c r="Q88" s="215">
        <f>0.74*E88/30</f>
        <v>1.1099999999999999</v>
      </c>
      <c r="R88" s="254"/>
      <c r="S88" s="17"/>
    </row>
    <row r="89" spans="1:19" ht="15.75" customHeight="1" x14ac:dyDescent="0.25">
      <c r="A89" s="122">
        <v>389</v>
      </c>
      <c r="B89" s="632" t="s">
        <v>71</v>
      </c>
      <c r="C89" s="434"/>
      <c r="D89" s="435"/>
      <c r="E89" s="162">
        <v>200</v>
      </c>
      <c r="F89" s="215">
        <v>1</v>
      </c>
      <c r="G89" s="215">
        <v>0</v>
      </c>
      <c r="H89" s="215">
        <v>20.2</v>
      </c>
      <c r="I89" s="215">
        <v>84.8</v>
      </c>
      <c r="J89" s="215">
        <v>0</v>
      </c>
      <c r="K89" s="215">
        <v>4</v>
      </c>
      <c r="L89" s="215">
        <v>0</v>
      </c>
      <c r="M89" s="215">
        <v>0</v>
      </c>
      <c r="N89" s="215">
        <v>14</v>
      </c>
      <c r="O89" s="215">
        <v>0</v>
      </c>
      <c r="P89" s="215">
        <v>8</v>
      </c>
      <c r="Q89" s="215">
        <v>2.8</v>
      </c>
      <c r="R89" s="253"/>
      <c r="S89" s="29"/>
    </row>
    <row r="90" spans="1:19" ht="15.75" customHeight="1" x14ac:dyDescent="0.25">
      <c r="A90" s="122"/>
      <c r="B90" s="614" t="s">
        <v>72</v>
      </c>
      <c r="C90" s="615"/>
      <c r="D90" s="616"/>
      <c r="E90" s="162">
        <f t="shared" ref="E90:Q90" si="16">SUM(E82:E89)</f>
        <v>870.52</v>
      </c>
      <c r="F90" s="215">
        <f t="shared" si="16"/>
        <v>51.538229999999999</v>
      </c>
      <c r="G90" s="215">
        <f t="shared" si="16"/>
        <v>37.940517999999997</v>
      </c>
      <c r="H90" s="215">
        <f t="shared" si="16"/>
        <v>135.85528199999999</v>
      </c>
      <c r="I90" s="215">
        <f t="shared" si="16"/>
        <v>1087.99</v>
      </c>
      <c r="J90" s="215">
        <f t="shared" si="16"/>
        <v>0</v>
      </c>
      <c r="K90" s="215">
        <f t="shared" si="16"/>
        <v>29.036000000000001</v>
      </c>
      <c r="L90" s="215">
        <f t="shared" si="16"/>
        <v>0</v>
      </c>
      <c r="M90" s="215">
        <f t="shared" si="16"/>
        <v>0</v>
      </c>
      <c r="N90" s="215">
        <f t="shared" si="16"/>
        <v>217.50422199999997</v>
      </c>
      <c r="O90" s="215">
        <f t="shared" si="16"/>
        <v>0</v>
      </c>
      <c r="P90" s="215">
        <f t="shared" si="16"/>
        <v>249.89466400000001</v>
      </c>
      <c r="Q90" s="215">
        <f t="shared" si="16"/>
        <v>15.580340000000003</v>
      </c>
      <c r="R90" s="254"/>
      <c r="S90" s="17"/>
    </row>
    <row r="91" spans="1:19" ht="15.75" customHeight="1" x14ac:dyDescent="0.25">
      <c r="A91" s="272"/>
      <c r="B91" s="474" t="s">
        <v>73</v>
      </c>
      <c r="C91" s="617"/>
      <c r="D91" s="618"/>
      <c r="E91" s="162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53"/>
      <c r="S91" s="29"/>
    </row>
    <row r="92" spans="1:19" ht="15.75" customHeight="1" x14ac:dyDescent="0.25">
      <c r="A92" s="202">
        <v>386</v>
      </c>
      <c r="B92" s="633" t="s">
        <v>74</v>
      </c>
      <c r="C92" s="434"/>
      <c r="D92" s="435"/>
      <c r="E92" s="179">
        <v>200</v>
      </c>
      <c r="F92" s="177">
        <v>4.32</v>
      </c>
      <c r="G92" s="177">
        <v>2.5</v>
      </c>
      <c r="H92" s="177">
        <v>9.8800000000000008</v>
      </c>
      <c r="I92" s="177">
        <v>84.8</v>
      </c>
      <c r="J92" s="177">
        <v>0</v>
      </c>
      <c r="K92" s="177">
        <v>0</v>
      </c>
      <c r="L92" s="177">
        <v>0</v>
      </c>
      <c r="M92" s="177">
        <v>0</v>
      </c>
      <c r="N92" s="177">
        <v>120.96</v>
      </c>
      <c r="O92" s="177">
        <v>0</v>
      </c>
      <c r="P92" s="177">
        <v>14.11</v>
      </c>
      <c r="Q92" s="177">
        <v>0.1</v>
      </c>
      <c r="R92" s="253"/>
      <c r="S92" s="29"/>
    </row>
    <row r="93" spans="1:19" ht="18.75" customHeight="1" x14ac:dyDescent="0.25">
      <c r="A93" s="133" t="s">
        <v>27</v>
      </c>
      <c r="B93" s="433" t="s">
        <v>105</v>
      </c>
      <c r="C93" s="434"/>
      <c r="D93" s="435"/>
      <c r="E93" s="158">
        <v>20</v>
      </c>
      <c r="F93" s="268">
        <f>1.25*E93/45</f>
        <v>0.55555555555555558</v>
      </c>
      <c r="G93" s="268">
        <f>1.48*E93/45</f>
        <v>0.65777777777777779</v>
      </c>
      <c r="H93" s="268">
        <f>34.89*E93/45</f>
        <v>15.506666666666666</v>
      </c>
      <c r="I93" s="268">
        <f>160.75*E93/45</f>
        <v>71.444444444444443</v>
      </c>
      <c r="J93" s="268">
        <v>0</v>
      </c>
      <c r="K93" s="215">
        <f>0.1*E93/45</f>
        <v>4.4444444444444446E-2</v>
      </c>
      <c r="L93" s="268">
        <v>0</v>
      </c>
      <c r="M93" s="268">
        <v>0</v>
      </c>
      <c r="N93" s="268">
        <f>6.8*E93/45</f>
        <v>3.0222222222222221</v>
      </c>
      <c r="O93" s="268">
        <v>0</v>
      </c>
      <c r="P93" s="268">
        <f>4.53*E93/45</f>
        <v>2.0133333333333336</v>
      </c>
      <c r="Q93" s="268">
        <f>0.9*E93/45</f>
        <v>0.4</v>
      </c>
      <c r="R93" s="253"/>
      <c r="S93" s="29"/>
    </row>
    <row r="94" spans="1:19" ht="20.25" customHeight="1" x14ac:dyDescent="0.25">
      <c r="A94" s="122"/>
      <c r="B94" s="614" t="s">
        <v>52</v>
      </c>
      <c r="C94" s="629"/>
      <c r="D94" s="630"/>
      <c r="E94" s="162">
        <f>SUM(200+E93)</f>
        <v>220</v>
      </c>
      <c r="F94" s="215">
        <f t="shared" ref="F94:Q94" si="17">SUM(F92:F93)</f>
        <v>4.8755555555555556</v>
      </c>
      <c r="G94" s="215">
        <f t="shared" si="17"/>
        <v>3.1577777777777776</v>
      </c>
      <c r="H94" s="215">
        <f t="shared" si="17"/>
        <v>25.386666666666667</v>
      </c>
      <c r="I94" s="215">
        <f t="shared" si="17"/>
        <v>156.24444444444444</v>
      </c>
      <c r="J94" s="215">
        <f t="shared" si="17"/>
        <v>0</v>
      </c>
      <c r="K94" s="215">
        <f t="shared" si="17"/>
        <v>4.4444444444444446E-2</v>
      </c>
      <c r="L94" s="215">
        <f t="shared" si="17"/>
        <v>0</v>
      </c>
      <c r="M94" s="215">
        <f t="shared" si="17"/>
        <v>0</v>
      </c>
      <c r="N94" s="215">
        <f t="shared" si="17"/>
        <v>123.98222222222222</v>
      </c>
      <c r="O94" s="215">
        <f t="shared" si="17"/>
        <v>0</v>
      </c>
      <c r="P94" s="215">
        <f t="shared" si="17"/>
        <v>16.123333333333335</v>
      </c>
      <c r="Q94" s="215">
        <f t="shared" si="17"/>
        <v>0.5</v>
      </c>
      <c r="R94" s="254"/>
      <c r="S94" s="17"/>
    </row>
    <row r="95" spans="1:19" s="85" customFormat="1" ht="20.25" customHeight="1" x14ac:dyDescent="0.25">
      <c r="A95" s="122"/>
      <c r="B95" s="433" t="s">
        <v>53</v>
      </c>
      <c r="C95" s="434"/>
      <c r="D95" s="435"/>
      <c r="E95" s="162">
        <v>8</v>
      </c>
      <c r="F95" s="215"/>
      <c r="G95" s="215"/>
      <c r="H95" s="215"/>
      <c r="I95" s="215"/>
      <c r="J95" s="215"/>
      <c r="K95" s="215"/>
      <c r="L95" s="215"/>
      <c r="M95" s="215"/>
      <c r="N95" s="215">
        <v>29.44</v>
      </c>
      <c r="O95" s="215"/>
      <c r="P95" s="215">
        <v>1.76</v>
      </c>
      <c r="Q95" s="215">
        <v>0.23</v>
      </c>
      <c r="R95" s="303"/>
      <c r="S95" s="221"/>
    </row>
    <row r="96" spans="1:19" ht="22.5" customHeight="1" x14ac:dyDescent="0.25">
      <c r="A96" s="122"/>
      <c r="B96" s="430" t="s">
        <v>75</v>
      </c>
      <c r="C96" s="431"/>
      <c r="D96" s="432"/>
      <c r="E96" s="155">
        <f t="shared" ref="E96:M96" si="18">SUM(E62,E65,E76,E80,E90,E94)</f>
        <v>3483.02</v>
      </c>
      <c r="F96" s="214">
        <f t="shared" si="18"/>
        <v>156.78678555555555</v>
      </c>
      <c r="G96" s="214">
        <f t="shared" si="18"/>
        <v>133.78329577777777</v>
      </c>
      <c r="H96" s="214">
        <f t="shared" si="18"/>
        <v>533.58944866666673</v>
      </c>
      <c r="I96" s="214">
        <f t="shared" si="18"/>
        <v>3923.6404444444443</v>
      </c>
      <c r="J96" s="214">
        <f t="shared" si="18"/>
        <v>26.07</v>
      </c>
      <c r="K96" s="214">
        <f t="shared" si="18"/>
        <v>96.768444444444441</v>
      </c>
      <c r="L96" s="214">
        <f t="shared" si="18"/>
        <v>10.53</v>
      </c>
      <c r="M96" s="214">
        <f t="shared" si="18"/>
        <v>35.21</v>
      </c>
      <c r="N96" s="214">
        <f>SUM(N62,N65,N76,N80,N90,N94,N95)</f>
        <v>1434.1404442222222</v>
      </c>
      <c r="O96" s="299">
        <f>SUM(O62,O65,O76,O80,O90,O94)</f>
        <v>39.590000000000003</v>
      </c>
      <c r="P96" s="214">
        <f>SUM(P62,P65,P76,P80,P90,P94)</f>
        <v>805.57549733333337</v>
      </c>
      <c r="Q96" s="214">
        <f>SUM(Q62,Q65,Q76,Q80,Q90,Q94)</f>
        <v>40.825339999999997</v>
      </c>
      <c r="R96" s="254"/>
      <c r="S96" s="17"/>
    </row>
    <row r="97" spans="1:19" ht="30" customHeight="1" x14ac:dyDescent="0.25">
      <c r="A97" s="273"/>
      <c r="B97" s="274"/>
      <c r="C97" s="274"/>
      <c r="D97" s="27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275"/>
      <c r="S97" s="1"/>
    </row>
    <row r="98" spans="1:19" ht="47.25" customHeight="1" x14ac:dyDescent="0.25">
      <c r="A98" s="631" t="s">
        <v>76</v>
      </c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5"/>
      <c r="S98" s="1"/>
    </row>
    <row r="99" spans="1:19" ht="20.25" customHeight="1" x14ac:dyDescent="0.25">
      <c r="A99" s="634" t="s">
        <v>3</v>
      </c>
      <c r="B99" s="528" t="s">
        <v>4</v>
      </c>
      <c r="C99" s="476"/>
      <c r="D99" s="477"/>
      <c r="E99" s="529" t="s">
        <v>5</v>
      </c>
      <c r="F99" s="530" t="s">
        <v>6</v>
      </c>
      <c r="G99" s="440"/>
      <c r="H99" s="441"/>
      <c r="I99" s="529" t="s">
        <v>7</v>
      </c>
      <c r="J99" s="530" t="s">
        <v>8</v>
      </c>
      <c r="K99" s="440"/>
      <c r="L99" s="440"/>
      <c r="M99" s="441"/>
      <c r="N99" s="530" t="s">
        <v>9</v>
      </c>
      <c r="O99" s="440"/>
      <c r="P99" s="440"/>
      <c r="Q99" s="441"/>
      <c r="R99" s="45"/>
      <c r="S99" s="1"/>
    </row>
    <row r="100" spans="1:19" ht="26.25" customHeight="1" x14ac:dyDescent="0.25">
      <c r="A100" s="480"/>
      <c r="B100" s="478"/>
      <c r="C100" s="479"/>
      <c r="D100" s="480"/>
      <c r="E100" s="527"/>
      <c r="F100" s="33" t="s">
        <v>10</v>
      </c>
      <c r="G100" s="33" t="s">
        <v>11</v>
      </c>
      <c r="H100" s="33" t="s">
        <v>12</v>
      </c>
      <c r="I100" s="527"/>
      <c r="J100" s="34" t="s">
        <v>13</v>
      </c>
      <c r="K100" s="34" t="s">
        <v>14</v>
      </c>
      <c r="L100" s="34" t="s">
        <v>15</v>
      </c>
      <c r="M100" s="35" t="s">
        <v>16</v>
      </c>
      <c r="N100" s="36" t="s">
        <v>17</v>
      </c>
      <c r="O100" s="34" t="s">
        <v>18</v>
      </c>
      <c r="P100" s="34" t="s">
        <v>19</v>
      </c>
      <c r="Q100" s="35" t="s">
        <v>20</v>
      </c>
      <c r="R100" s="1"/>
      <c r="S100" s="1"/>
    </row>
    <row r="101" spans="1:19" ht="19.5" customHeight="1" x14ac:dyDescent="0.25">
      <c r="A101" s="222">
        <v>1</v>
      </c>
      <c r="B101" s="636">
        <v>2</v>
      </c>
      <c r="C101" s="440"/>
      <c r="D101" s="441"/>
      <c r="E101" s="46">
        <v>3</v>
      </c>
      <c r="F101" s="46">
        <v>4</v>
      </c>
      <c r="G101" s="46">
        <v>5</v>
      </c>
      <c r="H101" s="46">
        <v>6</v>
      </c>
      <c r="I101" s="47">
        <v>7</v>
      </c>
      <c r="J101" s="46">
        <v>8</v>
      </c>
      <c r="K101" s="46">
        <v>9</v>
      </c>
      <c r="L101" s="46">
        <v>10</v>
      </c>
      <c r="M101" s="48">
        <v>11</v>
      </c>
      <c r="N101" s="46">
        <v>12</v>
      </c>
      <c r="O101" s="46">
        <v>13</v>
      </c>
      <c r="P101" s="46">
        <v>14</v>
      </c>
      <c r="Q101" s="49">
        <v>15</v>
      </c>
      <c r="R101" s="1"/>
      <c r="S101" s="1"/>
    </row>
    <row r="102" spans="1:19" ht="15.75" customHeight="1" x14ac:dyDescent="0.25">
      <c r="A102" s="201"/>
      <c r="B102" s="522" t="s">
        <v>21</v>
      </c>
      <c r="C102" s="446"/>
      <c r="D102" s="447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"/>
      <c r="S102" s="1"/>
    </row>
    <row r="103" spans="1:19" ht="15.75" customHeight="1" x14ac:dyDescent="0.25">
      <c r="A103" s="122">
        <v>3</v>
      </c>
      <c r="B103" s="637" t="s">
        <v>77</v>
      </c>
      <c r="C103" s="440"/>
      <c r="D103" s="441"/>
      <c r="E103" s="184" t="s">
        <v>23</v>
      </c>
      <c r="F103" s="182">
        <v>5.8</v>
      </c>
      <c r="G103" s="182">
        <v>8.3000000000000007</v>
      </c>
      <c r="H103" s="182">
        <v>14.83</v>
      </c>
      <c r="I103" s="182">
        <v>157</v>
      </c>
      <c r="J103" s="182">
        <v>0.04</v>
      </c>
      <c r="K103" s="182">
        <v>0.04</v>
      </c>
      <c r="L103" s="182">
        <v>0.03</v>
      </c>
      <c r="M103" s="182">
        <v>0.11</v>
      </c>
      <c r="N103" s="182">
        <v>139.19999999999999</v>
      </c>
      <c r="O103" s="182">
        <v>9.4499999999999993</v>
      </c>
      <c r="P103" s="182">
        <v>96</v>
      </c>
      <c r="Q103" s="182">
        <v>0.49</v>
      </c>
      <c r="R103" s="21"/>
      <c r="S103" s="21"/>
    </row>
    <row r="104" spans="1:19" ht="15.75" customHeight="1" x14ac:dyDescent="0.25">
      <c r="A104" s="638" t="s">
        <v>27</v>
      </c>
      <c r="B104" s="639" t="s">
        <v>78</v>
      </c>
      <c r="C104" s="476"/>
      <c r="D104" s="477"/>
      <c r="E104" s="577">
        <v>30</v>
      </c>
      <c r="F104" s="635">
        <v>2.15</v>
      </c>
      <c r="G104" s="635">
        <v>2.73</v>
      </c>
      <c r="H104" s="635">
        <v>10.87</v>
      </c>
      <c r="I104" s="635">
        <v>77</v>
      </c>
      <c r="J104" s="635">
        <v>0.02</v>
      </c>
      <c r="K104" s="635">
        <v>4.6500000000000004</v>
      </c>
      <c r="L104" s="635">
        <v>10</v>
      </c>
      <c r="M104" s="635" t="s">
        <v>35</v>
      </c>
      <c r="N104" s="635">
        <v>5.37</v>
      </c>
      <c r="O104" s="635">
        <v>49.167000000000002</v>
      </c>
      <c r="P104" s="635">
        <v>1.2E-2</v>
      </c>
      <c r="Q104" s="635">
        <v>0.39</v>
      </c>
      <c r="R104" s="50"/>
      <c r="S104" s="24"/>
    </row>
    <row r="105" spans="1:19" ht="15.75" customHeight="1" x14ac:dyDescent="0.25">
      <c r="A105" s="471"/>
      <c r="B105" s="640"/>
      <c r="C105" s="479"/>
      <c r="D105" s="480"/>
      <c r="E105" s="471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603"/>
      <c r="R105" s="50"/>
      <c r="S105" s="24"/>
    </row>
    <row r="106" spans="1:19" ht="16.5" customHeight="1" x14ac:dyDescent="0.25">
      <c r="A106" s="533">
        <v>210</v>
      </c>
      <c r="B106" s="534" t="s">
        <v>79</v>
      </c>
      <c r="C106" s="476"/>
      <c r="D106" s="477"/>
      <c r="E106" s="102">
        <v>220</v>
      </c>
      <c r="F106" s="531">
        <f>15*E106/160</f>
        <v>20.625</v>
      </c>
      <c r="G106" s="531">
        <f>23.29*E106/160</f>
        <v>32.02375</v>
      </c>
      <c r="H106" s="531">
        <f>2.95*E106/160</f>
        <v>4.0562500000000004</v>
      </c>
      <c r="I106" s="531">
        <f>281.41*E106/160</f>
        <v>386.93875000000003</v>
      </c>
      <c r="J106" s="531">
        <f>0*E106/160</f>
        <v>0</v>
      </c>
      <c r="K106" s="531">
        <f>0.3*E106/160</f>
        <v>0.41249999999999998</v>
      </c>
      <c r="L106" s="531">
        <f>0*E106/160</f>
        <v>0</v>
      </c>
      <c r="M106" s="531">
        <f>0*E106/160</f>
        <v>0</v>
      </c>
      <c r="N106" s="531">
        <f>125.6*E106/160</f>
        <v>172.7</v>
      </c>
      <c r="O106" s="531">
        <f>0*E106/160</f>
        <v>0</v>
      </c>
      <c r="P106" s="531">
        <f>20.8*E106/160</f>
        <v>28.6</v>
      </c>
      <c r="Q106" s="531">
        <f>3.08*E106/160</f>
        <v>4.2350000000000003</v>
      </c>
      <c r="R106" s="29"/>
      <c r="S106" s="29"/>
    </row>
    <row r="107" spans="1:19" ht="15.75" customHeight="1" x14ac:dyDescent="0.25">
      <c r="A107" s="471"/>
      <c r="B107" s="478"/>
      <c r="C107" s="479"/>
      <c r="D107" s="480"/>
      <c r="E107" s="128">
        <f>E106*3.125/100</f>
        <v>6.875</v>
      </c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29"/>
      <c r="S107" s="29"/>
    </row>
    <row r="108" spans="1:19" ht="15.75" customHeight="1" x14ac:dyDescent="0.25">
      <c r="A108" s="115">
        <v>379</v>
      </c>
      <c r="B108" s="448" t="s">
        <v>26</v>
      </c>
      <c r="C108" s="440"/>
      <c r="D108" s="441"/>
      <c r="E108" s="115">
        <v>200</v>
      </c>
      <c r="F108" s="115">
        <v>3.58</v>
      </c>
      <c r="G108" s="115">
        <v>2.68</v>
      </c>
      <c r="H108" s="115">
        <v>28.34</v>
      </c>
      <c r="I108" s="115">
        <v>151.80000000000001</v>
      </c>
      <c r="J108" s="115">
        <v>0.02</v>
      </c>
      <c r="K108" s="115">
        <v>1.3</v>
      </c>
      <c r="L108" s="115">
        <v>0</v>
      </c>
      <c r="M108" s="115">
        <v>0</v>
      </c>
      <c r="N108" s="115">
        <v>125.78</v>
      </c>
      <c r="O108" s="115">
        <v>14</v>
      </c>
      <c r="P108" s="115">
        <v>14</v>
      </c>
      <c r="Q108" s="115">
        <v>0.13</v>
      </c>
      <c r="R108" s="29"/>
      <c r="S108" s="29"/>
    </row>
    <row r="109" spans="1:19" ht="15.75" customHeight="1" x14ac:dyDescent="0.25">
      <c r="A109" s="106" t="s">
        <v>27</v>
      </c>
      <c r="B109" s="439" t="s">
        <v>28</v>
      </c>
      <c r="C109" s="440"/>
      <c r="D109" s="441"/>
      <c r="E109" s="99">
        <v>45</v>
      </c>
      <c r="F109" s="117">
        <f>2.26*E109/30</f>
        <v>3.3899999999999997</v>
      </c>
      <c r="G109" s="117">
        <f>0.23*E109/30</f>
        <v>0.34499999999999997</v>
      </c>
      <c r="H109" s="117">
        <f>14.66*E109/30</f>
        <v>21.990000000000002</v>
      </c>
      <c r="I109" s="117">
        <f>68.86*E109/30</f>
        <v>103.28999999999999</v>
      </c>
      <c r="J109" s="117">
        <v>0</v>
      </c>
      <c r="K109" s="117">
        <v>0</v>
      </c>
      <c r="L109" s="117">
        <v>0</v>
      </c>
      <c r="M109" s="117">
        <v>0</v>
      </c>
      <c r="N109" s="117">
        <f>12.97*E109/30</f>
        <v>19.454999999999998</v>
      </c>
      <c r="O109" s="117">
        <v>0</v>
      </c>
      <c r="P109" s="117">
        <f>2.83*E109/30</f>
        <v>4.2450000000000001</v>
      </c>
      <c r="Q109" s="117">
        <f>0.74*E109/30</f>
        <v>1.1099999999999999</v>
      </c>
      <c r="R109" s="17"/>
      <c r="S109" s="17"/>
    </row>
    <row r="110" spans="1:19" ht="15.75" customHeight="1" x14ac:dyDescent="0.25">
      <c r="A110" s="117"/>
      <c r="B110" s="641" t="s">
        <v>29</v>
      </c>
      <c r="C110" s="472"/>
      <c r="D110" s="473"/>
      <c r="E110" s="100">
        <f>SUM(E103:E109)+5+15+30</f>
        <v>551.875</v>
      </c>
      <c r="F110" s="117">
        <f t="shared" ref="F110:Q110" si="19">SUM(F103:F109)</f>
        <v>35.545000000000002</v>
      </c>
      <c r="G110" s="117">
        <f t="shared" si="19"/>
        <v>46.078749999999999</v>
      </c>
      <c r="H110" s="117">
        <f t="shared" si="19"/>
        <v>80.086250000000007</v>
      </c>
      <c r="I110" s="117">
        <f t="shared" si="19"/>
        <v>876.02874999999995</v>
      </c>
      <c r="J110" s="117">
        <f t="shared" si="19"/>
        <v>0.08</v>
      </c>
      <c r="K110" s="117">
        <f t="shared" si="19"/>
        <v>6.4024999999999999</v>
      </c>
      <c r="L110" s="117">
        <f t="shared" si="19"/>
        <v>10.029999999999999</v>
      </c>
      <c r="M110" s="117">
        <f t="shared" si="19"/>
        <v>0.11</v>
      </c>
      <c r="N110" s="117">
        <f t="shared" si="19"/>
        <v>462.50499999999994</v>
      </c>
      <c r="O110" s="117">
        <f t="shared" si="19"/>
        <v>72.617000000000004</v>
      </c>
      <c r="P110" s="117">
        <f t="shared" si="19"/>
        <v>142.857</v>
      </c>
      <c r="Q110" s="117">
        <f t="shared" si="19"/>
        <v>6.3550000000000004</v>
      </c>
      <c r="R110" s="23"/>
      <c r="S110" s="23"/>
    </row>
    <row r="111" spans="1:19" ht="15.75" customHeight="1" x14ac:dyDescent="0.25">
      <c r="A111" s="118"/>
      <c r="B111" s="642" t="s">
        <v>30</v>
      </c>
      <c r="C111" s="446"/>
      <c r="D111" s="447"/>
      <c r="E111" s="174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3"/>
      <c r="S111" s="3"/>
    </row>
    <row r="112" spans="1:19" ht="15.75" customHeight="1" x14ac:dyDescent="0.25">
      <c r="A112" s="119">
        <v>338</v>
      </c>
      <c r="B112" s="637" t="s">
        <v>31</v>
      </c>
      <c r="C112" s="440"/>
      <c r="D112" s="441"/>
      <c r="E112" s="204">
        <v>300</v>
      </c>
      <c r="F112" s="204">
        <f>1.2*E112/300</f>
        <v>1.2</v>
      </c>
      <c r="G112" s="178">
        <f>1.2*E112/300</f>
        <v>1.2</v>
      </c>
      <c r="H112" s="204">
        <f>29.4*E112/300</f>
        <v>29.4</v>
      </c>
      <c r="I112" s="204">
        <f>132*E112/300</f>
        <v>132</v>
      </c>
      <c r="J112" s="204">
        <v>0</v>
      </c>
      <c r="K112" s="204">
        <f>30*E112/300</f>
        <v>30</v>
      </c>
      <c r="L112" s="204">
        <v>0</v>
      </c>
      <c r="M112" s="204">
        <v>0</v>
      </c>
      <c r="N112" s="204">
        <f>48*E112/300</f>
        <v>48</v>
      </c>
      <c r="O112" s="204">
        <v>0</v>
      </c>
      <c r="P112" s="204">
        <f>27*E112/300</f>
        <v>27</v>
      </c>
      <c r="Q112" s="204">
        <f>6.6*E112/300</f>
        <v>6.6</v>
      </c>
      <c r="R112" s="21"/>
      <c r="S112" s="21"/>
    </row>
    <row r="113" spans="1:19" ht="15.75" customHeight="1" x14ac:dyDescent="0.25">
      <c r="A113" s="120"/>
      <c r="B113" s="643" t="s">
        <v>32</v>
      </c>
      <c r="C113" s="472"/>
      <c r="D113" s="473"/>
      <c r="E113" s="179">
        <f>E112</f>
        <v>300</v>
      </c>
      <c r="F113" s="177">
        <f t="shared" ref="F113:I113" si="20">SUM(F112)</f>
        <v>1.2</v>
      </c>
      <c r="G113" s="177">
        <f t="shared" si="20"/>
        <v>1.2</v>
      </c>
      <c r="H113" s="177">
        <f t="shared" si="20"/>
        <v>29.4</v>
      </c>
      <c r="I113" s="177">
        <f t="shared" si="20"/>
        <v>132</v>
      </c>
      <c r="J113" s="177">
        <f>J112</f>
        <v>0</v>
      </c>
      <c r="K113" s="177">
        <f t="shared" ref="K113:Q113" si="21">SUM(K112)</f>
        <v>30</v>
      </c>
      <c r="L113" s="177">
        <f t="shared" si="21"/>
        <v>0</v>
      </c>
      <c r="M113" s="177">
        <f t="shared" si="21"/>
        <v>0</v>
      </c>
      <c r="N113" s="177">
        <f t="shared" si="21"/>
        <v>48</v>
      </c>
      <c r="O113" s="177">
        <f t="shared" si="21"/>
        <v>0</v>
      </c>
      <c r="P113" s="177">
        <f t="shared" si="21"/>
        <v>27</v>
      </c>
      <c r="Q113" s="177">
        <f t="shared" si="21"/>
        <v>6.6</v>
      </c>
      <c r="R113" s="24"/>
      <c r="S113" s="24"/>
    </row>
    <row r="114" spans="1:19" ht="15.75" customHeight="1" x14ac:dyDescent="0.25">
      <c r="A114" s="201"/>
      <c r="B114" s="522" t="s">
        <v>33</v>
      </c>
      <c r="C114" s="446"/>
      <c r="D114" s="447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"/>
      <c r="S114" s="1"/>
    </row>
    <row r="115" spans="1:19" ht="15.75" customHeight="1" x14ac:dyDescent="0.25">
      <c r="A115" s="106">
        <v>52</v>
      </c>
      <c r="B115" s="448" t="s">
        <v>80</v>
      </c>
      <c r="C115" s="440"/>
      <c r="D115" s="441"/>
      <c r="E115" s="106">
        <v>150</v>
      </c>
      <c r="F115" s="106">
        <f>1.4*E115/100</f>
        <v>2.1</v>
      </c>
      <c r="G115" s="106">
        <f>6.01*E115/100</f>
        <v>9.0150000000000006</v>
      </c>
      <c r="H115" s="106">
        <f>8.26*E115/100</f>
        <v>12.39</v>
      </c>
      <c r="I115" s="106">
        <f>92.8*E115/100</f>
        <v>139.19999999999999</v>
      </c>
      <c r="J115" s="106">
        <f>0*E115/100</f>
        <v>0</v>
      </c>
      <c r="K115" s="106">
        <f>9.5*E115/100</f>
        <v>14.25</v>
      </c>
      <c r="L115" s="106">
        <f>0*E115/100</f>
        <v>0</v>
      </c>
      <c r="M115" s="106">
        <f>0*E115/100</f>
        <v>0</v>
      </c>
      <c r="N115" s="106">
        <f>35.15*E115/100</f>
        <v>52.725000000000001</v>
      </c>
      <c r="O115" s="106">
        <f>0*E115/100</f>
        <v>0</v>
      </c>
      <c r="P115" s="106">
        <f>20.9*E115/100</f>
        <v>31.35</v>
      </c>
      <c r="Q115" s="106">
        <f>1.33*E115/100</f>
        <v>1.9950000000000001</v>
      </c>
      <c r="R115" s="17"/>
      <c r="S115" s="17"/>
    </row>
    <row r="116" spans="1:19" ht="21" customHeight="1" x14ac:dyDescent="0.25">
      <c r="A116" s="209">
        <v>102</v>
      </c>
      <c r="B116" s="482" t="s">
        <v>81</v>
      </c>
      <c r="C116" s="440"/>
      <c r="D116" s="441"/>
      <c r="E116" s="135">
        <v>250</v>
      </c>
      <c r="F116" s="205">
        <f>5.08*E116/250</f>
        <v>5.08</v>
      </c>
      <c r="G116" s="205">
        <f>5.35*E116/250</f>
        <v>5.35</v>
      </c>
      <c r="H116" s="205">
        <f>23.85*E116/250</f>
        <v>23.85</v>
      </c>
      <c r="I116" s="205">
        <f>163.87*E116/250</f>
        <v>163.87</v>
      </c>
      <c r="J116" s="205" t="s">
        <v>35</v>
      </c>
      <c r="K116" s="205">
        <f>6.25*E116/250</f>
        <v>6.25</v>
      </c>
      <c r="L116" s="205">
        <f>0*E116/250</f>
        <v>0</v>
      </c>
      <c r="M116" s="205">
        <f>0*E116/250</f>
        <v>0</v>
      </c>
      <c r="N116" s="205">
        <f>47.5*E116/250</f>
        <v>47.5</v>
      </c>
      <c r="O116" s="205">
        <f>0*E116/250</f>
        <v>0</v>
      </c>
      <c r="P116" s="205">
        <f>37.5*E116/250</f>
        <v>37.5</v>
      </c>
      <c r="Q116" s="205">
        <f>2.25*E116/250</f>
        <v>2.25</v>
      </c>
      <c r="R116" s="17"/>
      <c r="S116" s="17"/>
    </row>
    <row r="117" spans="1:19" ht="15.75" customHeight="1" x14ac:dyDescent="0.25">
      <c r="A117" s="203">
        <v>291</v>
      </c>
      <c r="B117" s="595" t="s">
        <v>82</v>
      </c>
      <c r="C117" s="440"/>
      <c r="D117" s="441"/>
      <c r="E117" s="115" t="s">
        <v>83</v>
      </c>
      <c r="F117" s="131">
        <v>27.02</v>
      </c>
      <c r="G117" s="131">
        <v>13.42</v>
      </c>
      <c r="H117" s="131">
        <v>54.68</v>
      </c>
      <c r="I117" s="131">
        <v>448</v>
      </c>
      <c r="J117" s="131">
        <v>0</v>
      </c>
      <c r="K117" s="131">
        <v>9.8000000000000007</v>
      </c>
      <c r="L117" s="131">
        <v>0</v>
      </c>
      <c r="M117" s="131">
        <v>0</v>
      </c>
      <c r="N117" s="131">
        <v>54.14</v>
      </c>
      <c r="O117" s="131">
        <v>1.2</v>
      </c>
      <c r="P117" s="131">
        <v>80.900000000000006</v>
      </c>
      <c r="Q117" s="131">
        <v>2.8</v>
      </c>
      <c r="R117" s="17"/>
      <c r="S117" s="17"/>
    </row>
    <row r="118" spans="1:19" ht="15.75" customHeight="1" x14ac:dyDescent="0.25">
      <c r="A118" s="123">
        <v>342</v>
      </c>
      <c r="B118" s="644" t="s">
        <v>38</v>
      </c>
      <c r="C118" s="563"/>
      <c r="D118" s="564"/>
      <c r="E118" s="101">
        <v>200</v>
      </c>
      <c r="F118" s="108">
        <v>0.08</v>
      </c>
      <c r="G118" s="108">
        <v>0</v>
      </c>
      <c r="H118" s="108">
        <v>21.82</v>
      </c>
      <c r="I118" s="108">
        <v>87.6</v>
      </c>
      <c r="J118" s="108">
        <v>0</v>
      </c>
      <c r="K118" s="108">
        <v>2.25</v>
      </c>
      <c r="L118" s="108">
        <v>0</v>
      </c>
      <c r="M118" s="108">
        <v>0</v>
      </c>
      <c r="N118" s="108">
        <v>17</v>
      </c>
      <c r="O118" s="108">
        <v>0</v>
      </c>
      <c r="P118" s="108">
        <v>9</v>
      </c>
      <c r="Q118" s="108">
        <v>2.2000000000000002</v>
      </c>
      <c r="R118" s="29"/>
      <c r="S118" s="29"/>
    </row>
    <row r="119" spans="1:19" ht="15.75" customHeight="1" x14ac:dyDescent="0.25">
      <c r="A119" s="269" t="s">
        <v>27</v>
      </c>
      <c r="B119" s="649" t="s">
        <v>39</v>
      </c>
      <c r="C119" s="649"/>
      <c r="D119" s="649"/>
      <c r="E119" s="270">
        <v>120</v>
      </c>
      <c r="F119" s="271">
        <f>4.03*E119/50</f>
        <v>9.6720000000000006</v>
      </c>
      <c r="G119" s="271">
        <f>0.5*E119/50</f>
        <v>1.2</v>
      </c>
      <c r="H119" s="271">
        <f>22.36*E119/50</f>
        <v>53.663999999999994</v>
      </c>
      <c r="I119" s="271">
        <f>98.86*E119/50</f>
        <v>237.26400000000001</v>
      </c>
      <c r="J119" s="271">
        <v>0</v>
      </c>
      <c r="K119" s="271">
        <v>0</v>
      </c>
      <c r="L119" s="271">
        <v>0</v>
      </c>
      <c r="M119" s="271">
        <v>0</v>
      </c>
      <c r="N119" s="271">
        <f>17.59*E119/50</f>
        <v>42.216000000000001</v>
      </c>
      <c r="O119" s="271">
        <v>0</v>
      </c>
      <c r="P119" s="271">
        <f>1.89*E119/50</f>
        <v>4.5359999999999996</v>
      </c>
      <c r="Q119" s="271">
        <f>0.88*E119/50</f>
        <v>2.1120000000000001</v>
      </c>
      <c r="R119" s="17"/>
      <c r="S119" s="17"/>
    </row>
    <row r="120" spans="1:19" ht="15.75" customHeight="1" x14ac:dyDescent="0.25">
      <c r="A120" s="170" t="s">
        <v>27</v>
      </c>
      <c r="B120" s="645" t="s">
        <v>28</v>
      </c>
      <c r="C120" s="646"/>
      <c r="D120" s="647"/>
      <c r="E120" s="198">
        <v>45</v>
      </c>
      <c r="F120" s="190">
        <f>2.26*E120/30</f>
        <v>3.3899999999999997</v>
      </c>
      <c r="G120" s="190">
        <f>0.23*E120/30</f>
        <v>0.34499999999999997</v>
      </c>
      <c r="H120" s="190">
        <f>14.66*E120/30</f>
        <v>21.990000000000002</v>
      </c>
      <c r="I120" s="190">
        <f>68.86*E120/30</f>
        <v>103.28999999999999</v>
      </c>
      <c r="J120" s="190">
        <v>0</v>
      </c>
      <c r="K120" s="190">
        <v>0</v>
      </c>
      <c r="L120" s="190">
        <v>0</v>
      </c>
      <c r="M120" s="190">
        <v>0</v>
      </c>
      <c r="N120" s="190">
        <f>12.97*E120/30</f>
        <v>19.454999999999998</v>
      </c>
      <c r="O120" s="190">
        <v>0</v>
      </c>
      <c r="P120" s="190">
        <f>2.83*E120/30</f>
        <v>4.2450000000000001</v>
      </c>
      <c r="Q120" s="190">
        <f>0.74*E120/30</f>
        <v>1.1099999999999999</v>
      </c>
      <c r="R120" s="17"/>
      <c r="S120" s="17"/>
    </row>
    <row r="121" spans="1:19" ht="15.75" customHeight="1" x14ac:dyDescent="0.25">
      <c r="A121" s="106"/>
      <c r="B121" s="442" t="s">
        <v>65</v>
      </c>
      <c r="C121" s="472"/>
      <c r="D121" s="473"/>
      <c r="E121" s="106">
        <f t="shared" ref="E121:Q121" si="22">SUM(E115:E120)</f>
        <v>765</v>
      </c>
      <c r="F121" s="117">
        <f t="shared" si="22"/>
        <v>47.341999999999999</v>
      </c>
      <c r="G121" s="117">
        <f t="shared" si="22"/>
        <v>29.33</v>
      </c>
      <c r="H121" s="117">
        <f t="shared" si="22"/>
        <v>188.39400000000001</v>
      </c>
      <c r="I121" s="117">
        <f t="shared" si="22"/>
        <v>1179.2239999999999</v>
      </c>
      <c r="J121" s="117">
        <f t="shared" si="22"/>
        <v>0</v>
      </c>
      <c r="K121" s="117">
        <f t="shared" si="22"/>
        <v>32.549999999999997</v>
      </c>
      <c r="L121" s="117">
        <f t="shared" si="22"/>
        <v>0</v>
      </c>
      <c r="M121" s="117">
        <f t="shared" si="22"/>
        <v>0</v>
      </c>
      <c r="N121" s="117">
        <f t="shared" si="22"/>
        <v>233.036</v>
      </c>
      <c r="O121" s="117">
        <f t="shared" si="22"/>
        <v>1.2</v>
      </c>
      <c r="P121" s="117">
        <f t="shared" si="22"/>
        <v>167.53100000000001</v>
      </c>
      <c r="Q121" s="117">
        <f t="shared" si="22"/>
        <v>12.467000000000001</v>
      </c>
      <c r="R121" s="17"/>
      <c r="S121" s="17"/>
    </row>
    <row r="122" spans="1:19" ht="15.75" customHeight="1" x14ac:dyDescent="0.25">
      <c r="A122" s="201"/>
      <c r="B122" s="522" t="s">
        <v>41</v>
      </c>
      <c r="C122" s="446"/>
      <c r="D122" s="447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"/>
      <c r="S122" s="1"/>
    </row>
    <row r="123" spans="1:19" ht="18" customHeight="1" x14ac:dyDescent="0.25">
      <c r="A123" s="157" t="s">
        <v>84</v>
      </c>
      <c r="B123" s="448" t="s">
        <v>85</v>
      </c>
      <c r="C123" s="440"/>
      <c r="D123" s="441"/>
      <c r="E123" s="115">
        <v>150</v>
      </c>
      <c r="F123" s="129">
        <f>6.83*E123/100</f>
        <v>10.244999999999999</v>
      </c>
      <c r="G123" s="129">
        <f>5.33*E123/100</f>
        <v>7.9950000000000001</v>
      </c>
      <c r="H123" s="129">
        <f>39.3*E123/100</f>
        <v>58.95</v>
      </c>
      <c r="I123" s="129">
        <f>234*E123/100</f>
        <v>351</v>
      </c>
      <c r="J123" s="129">
        <v>0</v>
      </c>
      <c r="K123" s="129">
        <f>0.85*E123/100</f>
        <v>1.2749999999999999</v>
      </c>
      <c r="L123" s="129">
        <v>0</v>
      </c>
      <c r="M123" s="129">
        <v>0</v>
      </c>
      <c r="N123" s="129">
        <f>22.83*E123/100</f>
        <v>34.244999999999997</v>
      </c>
      <c r="O123" s="129">
        <v>0</v>
      </c>
      <c r="P123" s="129">
        <f>28*E123/100</f>
        <v>42</v>
      </c>
      <c r="Q123" s="129">
        <f>1.35*E123/100</f>
        <v>2.0249999999999999</v>
      </c>
      <c r="R123" s="29"/>
      <c r="S123" s="29"/>
    </row>
    <row r="124" spans="1:19" ht="15.75" customHeight="1" x14ac:dyDescent="0.25">
      <c r="A124" s="106">
        <v>379</v>
      </c>
      <c r="B124" s="439" t="s">
        <v>26</v>
      </c>
      <c r="C124" s="440"/>
      <c r="D124" s="441"/>
      <c r="E124" s="115">
        <v>200</v>
      </c>
      <c r="F124" s="129">
        <v>3.58</v>
      </c>
      <c r="G124" s="129">
        <v>2.68</v>
      </c>
      <c r="H124" s="129">
        <v>28.34</v>
      </c>
      <c r="I124" s="129">
        <v>151.80000000000001</v>
      </c>
      <c r="J124" s="129">
        <v>0.02</v>
      </c>
      <c r="K124" s="129">
        <v>0.04</v>
      </c>
      <c r="L124" s="129">
        <v>0.1</v>
      </c>
      <c r="M124" s="129">
        <v>1.3</v>
      </c>
      <c r="N124" s="129">
        <v>125.78</v>
      </c>
      <c r="O124" s="129">
        <v>0</v>
      </c>
      <c r="P124" s="129">
        <v>14</v>
      </c>
      <c r="Q124" s="129">
        <v>0.13</v>
      </c>
      <c r="R124" s="29"/>
      <c r="S124" s="29"/>
    </row>
    <row r="125" spans="1:19" ht="15.75" customHeight="1" x14ac:dyDescent="0.25">
      <c r="A125" s="106"/>
      <c r="B125" s="442" t="s">
        <v>86</v>
      </c>
      <c r="C125" s="472"/>
      <c r="D125" s="473"/>
      <c r="E125" s="106">
        <f t="shared" ref="E125:Q125" si="23">SUM(E123:E124)</f>
        <v>350</v>
      </c>
      <c r="F125" s="132">
        <f t="shared" si="23"/>
        <v>13.824999999999999</v>
      </c>
      <c r="G125" s="117">
        <f t="shared" si="23"/>
        <v>10.675000000000001</v>
      </c>
      <c r="H125" s="117">
        <f t="shared" si="23"/>
        <v>87.29</v>
      </c>
      <c r="I125" s="117">
        <f t="shared" si="23"/>
        <v>502.8</v>
      </c>
      <c r="J125" s="117">
        <f t="shared" si="23"/>
        <v>0.02</v>
      </c>
      <c r="K125" s="117">
        <f t="shared" si="23"/>
        <v>1.3149999999999999</v>
      </c>
      <c r="L125" s="117">
        <f t="shared" si="23"/>
        <v>0.1</v>
      </c>
      <c r="M125" s="117">
        <f t="shared" si="23"/>
        <v>1.3</v>
      </c>
      <c r="N125" s="117">
        <f t="shared" si="23"/>
        <v>160.02500000000001</v>
      </c>
      <c r="O125" s="117">
        <f t="shared" si="23"/>
        <v>0</v>
      </c>
      <c r="P125" s="117">
        <f t="shared" si="23"/>
        <v>56</v>
      </c>
      <c r="Q125" s="117">
        <f t="shared" si="23"/>
        <v>2.1549999999999998</v>
      </c>
      <c r="R125" s="17"/>
      <c r="S125" s="17"/>
    </row>
    <row r="126" spans="1:19" ht="15.75" customHeight="1" x14ac:dyDescent="0.25">
      <c r="A126" s="201"/>
      <c r="B126" s="474" t="s">
        <v>87</v>
      </c>
      <c r="C126" s="446"/>
      <c r="D126" s="447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"/>
      <c r="S126" s="1"/>
    </row>
    <row r="127" spans="1:19" ht="15.75" customHeight="1" x14ac:dyDescent="0.25">
      <c r="A127" s="115">
        <v>321</v>
      </c>
      <c r="B127" s="448" t="s">
        <v>88</v>
      </c>
      <c r="C127" s="440"/>
      <c r="D127" s="441"/>
      <c r="E127" s="95">
        <v>100</v>
      </c>
      <c r="F127" s="129">
        <v>4.13</v>
      </c>
      <c r="G127" s="129">
        <v>6.47</v>
      </c>
      <c r="H127" s="129">
        <v>18.850000000000001</v>
      </c>
      <c r="I127" s="129">
        <v>150.19999999999999</v>
      </c>
      <c r="J127" s="129" t="s">
        <v>35</v>
      </c>
      <c r="K127" s="129">
        <v>34.25</v>
      </c>
      <c r="L127" s="129">
        <f>0*E127/100</f>
        <v>0</v>
      </c>
      <c r="M127" s="129">
        <f>0*E127/100</f>
        <v>0</v>
      </c>
      <c r="N127" s="129">
        <v>110.9</v>
      </c>
      <c r="O127" s="129">
        <f>0*E127/100</f>
        <v>0</v>
      </c>
      <c r="P127" s="129">
        <v>41.3</v>
      </c>
      <c r="Q127" s="129">
        <v>1.61</v>
      </c>
      <c r="R127" s="56"/>
      <c r="S127" s="29"/>
    </row>
    <row r="128" spans="1:19" ht="15.75" customHeight="1" x14ac:dyDescent="0.25">
      <c r="A128" s="627" t="s">
        <v>89</v>
      </c>
      <c r="B128" s="639" t="s">
        <v>90</v>
      </c>
      <c r="C128" s="476"/>
      <c r="D128" s="477"/>
      <c r="E128" s="206">
        <v>120</v>
      </c>
      <c r="F128" s="648">
        <f>14.14*(E128+E129)/(120+50)</f>
        <v>14.140033270588239</v>
      </c>
      <c r="G128" s="648">
        <f>18.75*(E128+E129)/(120+50)</f>
        <v>18.750044117647061</v>
      </c>
      <c r="H128" s="648">
        <f>7.75*(E128+E129)/(120+50)</f>
        <v>7.7500182352941183</v>
      </c>
      <c r="I128" s="648">
        <f>256.31*(E128+E129)/(120+50)</f>
        <v>256.310603082353</v>
      </c>
      <c r="J128" s="648">
        <v>0</v>
      </c>
      <c r="K128" s="648">
        <f>1*(E128+E129)/(120+50)</f>
        <v>1.0000023529411766</v>
      </c>
      <c r="L128" s="648">
        <v>0</v>
      </c>
      <c r="M128" s="648">
        <v>0</v>
      </c>
      <c r="N128" s="648">
        <f>11.56*(E128+E129)/(120+50)</f>
        <v>11.5600272</v>
      </c>
      <c r="O128" s="648">
        <v>0</v>
      </c>
      <c r="P128" s="648">
        <f>18*(E128+E129)/(120+50)</f>
        <v>18.000042352941175</v>
      </c>
      <c r="Q128" s="648">
        <f>3*(E128+E129)/(120+50)</f>
        <v>3.0000070588235297</v>
      </c>
      <c r="R128" s="24"/>
      <c r="S128" s="24"/>
    </row>
    <row r="129" spans="1:19" ht="15.75" customHeight="1" x14ac:dyDescent="0.25">
      <c r="A129" s="471"/>
      <c r="B129" s="640"/>
      <c r="C129" s="479"/>
      <c r="D129" s="480"/>
      <c r="E129" s="207">
        <f>E128*41.667/100</f>
        <v>50.000399999999999</v>
      </c>
      <c r="F129" s="603"/>
      <c r="G129" s="603"/>
      <c r="H129" s="603"/>
      <c r="I129" s="603"/>
      <c r="J129" s="603"/>
      <c r="K129" s="603"/>
      <c r="L129" s="603"/>
      <c r="M129" s="603"/>
      <c r="N129" s="603"/>
      <c r="O129" s="603"/>
      <c r="P129" s="603"/>
      <c r="Q129" s="603"/>
      <c r="R129" s="24"/>
      <c r="S129" s="24"/>
    </row>
    <row r="130" spans="1:19" ht="15.75" customHeight="1" x14ac:dyDescent="0.25">
      <c r="A130" s="223">
        <v>310</v>
      </c>
      <c r="B130" s="439" t="s">
        <v>91</v>
      </c>
      <c r="C130" s="440"/>
      <c r="D130" s="441"/>
      <c r="E130" s="208">
        <v>200</v>
      </c>
      <c r="F130" s="209">
        <f>3.81*E130/200</f>
        <v>3.81</v>
      </c>
      <c r="G130" s="209">
        <f>5.75*E130/200</f>
        <v>5.75</v>
      </c>
      <c r="H130" s="209">
        <f>30.68*E130/200</f>
        <v>30.68</v>
      </c>
      <c r="I130" s="209">
        <f>189.8*E130/200</f>
        <v>189.8</v>
      </c>
      <c r="J130" s="205">
        <f>0*E130/200</f>
        <v>0</v>
      </c>
      <c r="K130" s="205">
        <f>28*E130/200</f>
        <v>28</v>
      </c>
      <c r="L130" s="205">
        <f>0*E130/200</f>
        <v>0</v>
      </c>
      <c r="M130" s="205">
        <f>0*E130/200</f>
        <v>0</v>
      </c>
      <c r="N130" s="205">
        <f>19.52*E130/200</f>
        <v>19.52</v>
      </c>
      <c r="O130" s="205">
        <f>0*E130/200</f>
        <v>0</v>
      </c>
      <c r="P130" s="205">
        <f>39.1*E130/200</f>
        <v>39.1</v>
      </c>
      <c r="Q130" s="205">
        <f>1.54*E130/200</f>
        <v>1.54</v>
      </c>
      <c r="R130" s="21"/>
      <c r="S130" s="21"/>
    </row>
    <row r="131" spans="1:19" ht="17.25" customHeight="1" x14ac:dyDescent="0.25">
      <c r="A131" s="106">
        <v>389</v>
      </c>
      <c r="B131" s="540" t="s">
        <v>92</v>
      </c>
      <c r="C131" s="440"/>
      <c r="D131" s="441"/>
      <c r="E131" s="100">
        <v>200</v>
      </c>
      <c r="F131" s="117">
        <v>1</v>
      </c>
      <c r="G131" s="117">
        <v>0</v>
      </c>
      <c r="H131" s="117">
        <v>20.2</v>
      </c>
      <c r="I131" s="117">
        <v>84.8</v>
      </c>
      <c r="J131" s="117">
        <v>0</v>
      </c>
      <c r="K131" s="117">
        <v>4</v>
      </c>
      <c r="L131" s="117">
        <v>0</v>
      </c>
      <c r="M131" s="117">
        <v>0</v>
      </c>
      <c r="N131" s="117">
        <v>14</v>
      </c>
      <c r="O131" s="117">
        <v>0</v>
      </c>
      <c r="P131" s="117">
        <v>8</v>
      </c>
      <c r="Q131" s="117">
        <v>2.8</v>
      </c>
      <c r="R131" s="29"/>
      <c r="S131" s="29"/>
    </row>
    <row r="132" spans="1:19" ht="15.75" customHeight="1" x14ac:dyDescent="0.25">
      <c r="A132" s="106" t="s">
        <v>27</v>
      </c>
      <c r="B132" s="41" t="s">
        <v>39</v>
      </c>
      <c r="C132" s="41"/>
      <c r="D132" s="41"/>
      <c r="E132" s="99">
        <v>75</v>
      </c>
      <c r="F132" s="117">
        <f>4.03*E132/50</f>
        <v>6.0449999999999999</v>
      </c>
      <c r="G132" s="117">
        <f>0.5*E132/50</f>
        <v>0.75</v>
      </c>
      <c r="H132" s="117">
        <f>22.36*E132/50</f>
        <v>33.54</v>
      </c>
      <c r="I132" s="117">
        <f>98.86*E132/50</f>
        <v>148.29</v>
      </c>
      <c r="J132" s="117">
        <v>0</v>
      </c>
      <c r="K132" s="117">
        <v>0</v>
      </c>
      <c r="L132" s="117">
        <v>0</v>
      </c>
      <c r="M132" s="117">
        <v>0</v>
      </c>
      <c r="N132" s="117">
        <f>17.59*E132/50</f>
        <v>26.385000000000002</v>
      </c>
      <c r="O132" s="117">
        <v>0</v>
      </c>
      <c r="P132" s="117">
        <f>1.89*E132/50</f>
        <v>2.835</v>
      </c>
      <c r="Q132" s="117">
        <f>0.88*E132/50</f>
        <v>1.32</v>
      </c>
      <c r="R132" s="17"/>
      <c r="S132" s="17"/>
    </row>
    <row r="133" spans="1:19" ht="15.75" customHeight="1" x14ac:dyDescent="0.25">
      <c r="A133" s="106" t="s">
        <v>27</v>
      </c>
      <c r="B133" s="439" t="s">
        <v>28</v>
      </c>
      <c r="C133" s="440"/>
      <c r="D133" s="441"/>
      <c r="E133" s="99">
        <v>45</v>
      </c>
      <c r="F133" s="117">
        <f>2.26*E133/30</f>
        <v>3.3899999999999997</v>
      </c>
      <c r="G133" s="117">
        <f>0.23*E133/30</f>
        <v>0.34499999999999997</v>
      </c>
      <c r="H133" s="117">
        <f>14.66*E133/30</f>
        <v>21.990000000000002</v>
      </c>
      <c r="I133" s="117">
        <f>68.86*E133/30</f>
        <v>103.28999999999999</v>
      </c>
      <c r="J133" s="117">
        <v>0</v>
      </c>
      <c r="K133" s="117">
        <v>0</v>
      </c>
      <c r="L133" s="117">
        <v>0</v>
      </c>
      <c r="M133" s="117">
        <v>0</v>
      </c>
      <c r="N133" s="117">
        <f>12.97*E133/30</f>
        <v>19.454999999999998</v>
      </c>
      <c r="O133" s="117">
        <v>0</v>
      </c>
      <c r="P133" s="117">
        <f>2.83*E133/30</f>
        <v>4.2450000000000001</v>
      </c>
      <c r="Q133" s="117">
        <f>0.74*E133/30</f>
        <v>1.1099999999999999</v>
      </c>
      <c r="R133" s="17"/>
      <c r="S133" s="17"/>
    </row>
    <row r="134" spans="1:19" ht="14.25" customHeight="1" x14ac:dyDescent="0.25">
      <c r="A134" s="106"/>
      <c r="B134" s="442" t="s">
        <v>72</v>
      </c>
      <c r="C134" s="472"/>
      <c r="D134" s="473"/>
      <c r="E134" s="99">
        <f t="shared" ref="E134:Q134" si="24">SUM(E127:E133)</f>
        <v>790.00040000000001</v>
      </c>
      <c r="F134" s="117">
        <f t="shared" si="24"/>
        <v>32.515033270588241</v>
      </c>
      <c r="G134" s="117">
        <f t="shared" si="24"/>
        <v>32.065044117647062</v>
      </c>
      <c r="H134" s="117">
        <f t="shared" si="24"/>
        <v>133.01001823529413</v>
      </c>
      <c r="I134" s="132">
        <f t="shared" si="24"/>
        <v>932.69060308235294</v>
      </c>
      <c r="J134" s="117">
        <f t="shared" si="24"/>
        <v>0</v>
      </c>
      <c r="K134" s="117">
        <f t="shared" si="24"/>
        <v>67.250002352941181</v>
      </c>
      <c r="L134" s="117">
        <f t="shared" si="24"/>
        <v>0</v>
      </c>
      <c r="M134" s="117">
        <f t="shared" si="24"/>
        <v>0</v>
      </c>
      <c r="N134" s="117">
        <f t="shared" si="24"/>
        <v>201.82002720000003</v>
      </c>
      <c r="O134" s="117">
        <f t="shared" si="24"/>
        <v>0</v>
      </c>
      <c r="P134" s="117">
        <f t="shared" si="24"/>
        <v>113.48004235294117</v>
      </c>
      <c r="Q134" s="117">
        <f t="shared" si="24"/>
        <v>11.38000705882353</v>
      </c>
      <c r="R134" s="29"/>
      <c r="S134" s="29"/>
    </row>
    <row r="135" spans="1:19" ht="15.75" customHeight="1" x14ac:dyDescent="0.25">
      <c r="A135" s="201"/>
      <c r="B135" s="474" t="s">
        <v>73</v>
      </c>
      <c r="C135" s="446"/>
      <c r="D135" s="447"/>
      <c r="E135" s="201"/>
      <c r="F135" s="201"/>
      <c r="G135" s="201"/>
      <c r="H135" s="201"/>
      <c r="I135" s="210"/>
      <c r="J135" s="201"/>
      <c r="K135" s="201"/>
      <c r="L135" s="201"/>
      <c r="M135" s="201"/>
      <c r="N135" s="201"/>
      <c r="O135" s="201"/>
      <c r="P135" s="201"/>
      <c r="Q135" s="201"/>
      <c r="R135" s="1"/>
      <c r="S135" s="1"/>
    </row>
    <row r="136" spans="1:19" ht="15.75" customHeight="1" x14ac:dyDescent="0.25">
      <c r="A136" s="106">
        <v>386</v>
      </c>
      <c r="B136" s="439" t="s">
        <v>93</v>
      </c>
      <c r="C136" s="440"/>
      <c r="D136" s="441"/>
      <c r="E136" s="106">
        <v>200</v>
      </c>
      <c r="F136" s="106">
        <v>5.6</v>
      </c>
      <c r="G136" s="106">
        <v>6.4</v>
      </c>
      <c r="H136" s="106">
        <v>7.6</v>
      </c>
      <c r="I136" s="106">
        <v>110</v>
      </c>
      <c r="J136" s="132">
        <v>0</v>
      </c>
      <c r="K136" s="106">
        <v>0.6</v>
      </c>
      <c r="L136" s="132">
        <v>0</v>
      </c>
      <c r="M136" s="106">
        <v>0</v>
      </c>
      <c r="N136" s="132">
        <v>248</v>
      </c>
      <c r="O136" s="106">
        <v>0</v>
      </c>
      <c r="P136" s="132">
        <v>28</v>
      </c>
      <c r="Q136" s="106">
        <v>0.2</v>
      </c>
      <c r="R136" s="29"/>
      <c r="S136" s="29"/>
    </row>
    <row r="137" spans="1:19" ht="15.75" customHeight="1" x14ac:dyDescent="0.25">
      <c r="A137" s="122" t="s">
        <v>27</v>
      </c>
      <c r="B137" s="439" t="s">
        <v>51</v>
      </c>
      <c r="C137" s="440"/>
      <c r="D137" s="441"/>
      <c r="E137" s="211">
        <v>20</v>
      </c>
      <c r="F137" s="182">
        <f>1.25*E137/45</f>
        <v>0.55555555555555558</v>
      </c>
      <c r="G137" s="182">
        <f>1.48*E137/45</f>
        <v>0.65777777777777779</v>
      </c>
      <c r="H137" s="182">
        <f>34.89*E137/45</f>
        <v>15.506666666666666</v>
      </c>
      <c r="I137" s="182">
        <f>160.75*E137/45</f>
        <v>71.444444444444443</v>
      </c>
      <c r="J137" s="182">
        <v>0</v>
      </c>
      <c r="K137" s="182">
        <f>0.1*E137/45</f>
        <v>4.4444444444444446E-2</v>
      </c>
      <c r="L137" s="182">
        <v>0</v>
      </c>
      <c r="M137" s="182">
        <v>0</v>
      </c>
      <c r="N137" s="182">
        <f>6.8*E137/45</f>
        <v>3.0222222222222221</v>
      </c>
      <c r="O137" s="182">
        <v>0</v>
      </c>
      <c r="P137" s="182">
        <f>4.53*E137/45</f>
        <v>2.0133333333333336</v>
      </c>
      <c r="Q137" s="182">
        <f>0.9*E137/45</f>
        <v>0.4</v>
      </c>
      <c r="R137" s="21"/>
      <c r="S137" s="21"/>
    </row>
    <row r="138" spans="1:19" ht="15.75" customHeight="1" x14ac:dyDescent="0.25">
      <c r="A138" s="106"/>
      <c r="B138" s="442" t="s">
        <v>52</v>
      </c>
      <c r="C138" s="472"/>
      <c r="D138" s="473"/>
      <c r="E138" s="106">
        <f t="shared" ref="E138:Q138" si="25">SUM(E136:E137)</f>
        <v>220</v>
      </c>
      <c r="F138" s="117">
        <f t="shared" si="25"/>
        <v>6.155555555555555</v>
      </c>
      <c r="G138" s="117">
        <f t="shared" si="25"/>
        <v>7.0577777777777779</v>
      </c>
      <c r="H138" s="117">
        <f t="shared" si="25"/>
        <v>23.106666666666666</v>
      </c>
      <c r="I138" s="117">
        <f t="shared" si="25"/>
        <v>181.44444444444446</v>
      </c>
      <c r="J138" s="117">
        <f t="shared" si="25"/>
        <v>0</v>
      </c>
      <c r="K138" s="117">
        <f t="shared" si="25"/>
        <v>0.64444444444444438</v>
      </c>
      <c r="L138" s="117">
        <f t="shared" si="25"/>
        <v>0</v>
      </c>
      <c r="M138" s="117">
        <f t="shared" si="25"/>
        <v>0</v>
      </c>
      <c r="N138" s="117">
        <f t="shared" si="25"/>
        <v>251.02222222222221</v>
      </c>
      <c r="O138" s="117">
        <f t="shared" si="25"/>
        <v>0</v>
      </c>
      <c r="P138" s="117">
        <f t="shared" si="25"/>
        <v>30.013333333333335</v>
      </c>
      <c r="Q138" s="117">
        <f t="shared" si="25"/>
        <v>0.60000000000000009</v>
      </c>
      <c r="R138" s="17"/>
      <c r="S138" s="17"/>
    </row>
    <row r="139" spans="1:19" s="85" customFormat="1" ht="15.75" customHeight="1" x14ac:dyDescent="0.25">
      <c r="A139" s="106"/>
      <c r="B139" s="436" t="s">
        <v>53</v>
      </c>
      <c r="C139" s="437"/>
      <c r="D139" s="438"/>
      <c r="E139" s="212">
        <v>8</v>
      </c>
      <c r="F139" s="213"/>
      <c r="G139" s="213"/>
      <c r="H139" s="213"/>
      <c r="I139" s="213"/>
      <c r="J139" s="213"/>
      <c r="K139" s="213"/>
      <c r="L139" s="213"/>
      <c r="M139" s="213"/>
      <c r="N139" s="213">
        <v>29.44</v>
      </c>
      <c r="O139" s="213"/>
      <c r="P139" s="213">
        <v>1.76</v>
      </c>
      <c r="Q139" s="213">
        <v>0.23</v>
      </c>
      <c r="R139" s="221"/>
      <c r="S139" s="221"/>
    </row>
    <row r="140" spans="1:19" ht="15.75" customHeight="1" x14ac:dyDescent="0.25">
      <c r="A140" s="117"/>
      <c r="B140" s="641" t="s">
        <v>94</v>
      </c>
      <c r="C140" s="472"/>
      <c r="D140" s="473"/>
      <c r="E140" s="32">
        <f t="shared" ref="E140:M140" si="26">SUM(E110,E112,E121,E125,E134,E138)</f>
        <v>2976.8753999999999</v>
      </c>
      <c r="F140" s="22">
        <f t="shared" si="26"/>
        <v>136.58258882614382</v>
      </c>
      <c r="G140" s="22">
        <f t="shared" si="26"/>
        <v>126.40657189542483</v>
      </c>
      <c r="H140" s="22">
        <f t="shared" si="26"/>
        <v>541.28693490196088</v>
      </c>
      <c r="I140" s="22">
        <f t="shared" si="26"/>
        <v>3804.1877975267971</v>
      </c>
      <c r="J140" s="22">
        <f t="shared" si="26"/>
        <v>0.1</v>
      </c>
      <c r="K140" s="22">
        <f t="shared" si="26"/>
        <v>138.16194679738561</v>
      </c>
      <c r="L140" s="22">
        <f t="shared" si="26"/>
        <v>10.129999999999999</v>
      </c>
      <c r="M140" s="22">
        <f t="shared" si="26"/>
        <v>1.4100000000000001</v>
      </c>
      <c r="N140" s="22">
        <f>SUM(N110,N112,N121,N125,N134,N138,N139)</f>
        <v>1385.8482494222221</v>
      </c>
      <c r="O140" s="42">
        <f>SUM(O110,O112,O121,O125,O134,O138)</f>
        <v>73.817000000000007</v>
      </c>
      <c r="P140" s="22">
        <f>SUM(P110,P112,P121,P125,P134,P138)</f>
        <v>536.88137568627451</v>
      </c>
      <c r="Q140" s="22">
        <f>SUM(Q110,Q112,Q121,Q125,Q134,Q138)</f>
        <v>39.557007058823537</v>
      </c>
      <c r="R140" s="23"/>
      <c r="S140" s="23"/>
    </row>
    <row r="141" spans="1:19" s="321" customFormat="1" ht="15.75" customHeight="1" x14ac:dyDescent="0.25">
      <c r="A141" s="322"/>
      <c r="B141" s="323"/>
      <c r="C141" s="320"/>
      <c r="D141" s="320"/>
      <c r="E141" s="324"/>
      <c r="F141" s="234"/>
      <c r="G141" s="234"/>
      <c r="H141" s="234"/>
      <c r="I141" s="234"/>
      <c r="J141" s="234"/>
      <c r="K141" s="234"/>
      <c r="L141" s="234"/>
      <c r="M141" s="234"/>
      <c r="N141" s="234"/>
      <c r="O141" s="325"/>
      <c r="P141" s="234"/>
      <c r="Q141" s="234"/>
      <c r="R141" s="326"/>
      <c r="S141" s="326"/>
    </row>
    <row r="142" spans="1:19" ht="22.5" customHeight="1" x14ac:dyDescent="0.25">
      <c r="A142" s="523" t="s">
        <v>95</v>
      </c>
      <c r="B142" s="524"/>
      <c r="C142" s="524"/>
      <c r="D142" s="524"/>
      <c r="E142" s="524"/>
      <c r="F142" s="524"/>
      <c r="G142" s="524"/>
      <c r="H142" s="524"/>
      <c r="I142" s="524"/>
      <c r="J142" s="524"/>
      <c r="K142" s="524"/>
      <c r="L142" s="524"/>
      <c r="M142" s="524"/>
      <c r="N142" s="524"/>
      <c r="O142" s="524"/>
      <c r="P142" s="524"/>
      <c r="Q142" s="524"/>
      <c r="R142" s="525"/>
      <c r="S142" s="1"/>
    </row>
    <row r="143" spans="1:19" ht="14.25" customHeight="1" x14ac:dyDescent="0.25">
      <c r="A143" s="634" t="s">
        <v>3</v>
      </c>
      <c r="B143" s="528" t="s">
        <v>4</v>
      </c>
      <c r="C143" s="476"/>
      <c r="D143" s="477"/>
      <c r="E143" s="529" t="s">
        <v>5</v>
      </c>
      <c r="F143" s="530" t="s">
        <v>6</v>
      </c>
      <c r="G143" s="440"/>
      <c r="H143" s="441"/>
      <c r="I143" s="529" t="s">
        <v>7</v>
      </c>
      <c r="J143" s="530" t="s">
        <v>8</v>
      </c>
      <c r="K143" s="440"/>
      <c r="L143" s="440"/>
      <c r="M143" s="441"/>
      <c r="N143" s="530" t="s">
        <v>9</v>
      </c>
      <c r="O143" s="440"/>
      <c r="P143" s="440"/>
      <c r="Q143" s="441"/>
      <c r="R143" s="1"/>
      <c r="S143" s="1"/>
    </row>
    <row r="144" spans="1:19" ht="33.75" customHeight="1" x14ac:dyDescent="0.25">
      <c r="A144" s="480"/>
      <c r="B144" s="478"/>
      <c r="C144" s="479"/>
      <c r="D144" s="480"/>
      <c r="E144" s="527"/>
      <c r="F144" s="33" t="s">
        <v>10</v>
      </c>
      <c r="G144" s="33" t="s">
        <v>11</v>
      </c>
      <c r="H144" s="33" t="s">
        <v>12</v>
      </c>
      <c r="I144" s="527"/>
      <c r="J144" s="34" t="s">
        <v>13</v>
      </c>
      <c r="K144" s="34" t="s">
        <v>14</v>
      </c>
      <c r="L144" s="34" t="s">
        <v>15</v>
      </c>
      <c r="M144" s="35" t="s">
        <v>16</v>
      </c>
      <c r="N144" s="36" t="s">
        <v>17</v>
      </c>
      <c r="O144" s="34" t="s">
        <v>18</v>
      </c>
      <c r="P144" s="34" t="s">
        <v>19</v>
      </c>
      <c r="Q144" s="35" t="s">
        <v>20</v>
      </c>
      <c r="R144" s="1"/>
      <c r="S144" s="1"/>
    </row>
    <row r="145" spans="1:19" ht="15.75" customHeight="1" x14ac:dyDescent="0.25">
      <c r="A145" s="220">
        <v>1</v>
      </c>
      <c r="B145" s="532">
        <v>2</v>
      </c>
      <c r="C145" s="440"/>
      <c r="D145" s="441"/>
      <c r="E145" s="57">
        <v>3</v>
      </c>
      <c r="F145" s="57">
        <v>4</v>
      </c>
      <c r="G145" s="57">
        <v>5</v>
      </c>
      <c r="H145" s="57">
        <v>6</v>
      </c>
      <c r="I145" s="58">
        <v>7</v>
      </c>
      <c r="J145" s="57">
        <v>8</v>
      </c>
      <c r="K145" s="57">
        <v>9</v>
      </c>
      <c r="L145" s="57">
        <v>10</v>
      </c>
      <c r="M145" s="59">
        <v>11</v>
      </c>
      <c r="N145" s="57">
        <v>12</v>
      </c>
      <c r="O145" s="57">
        <v>13</v>
      </c>
      <c r="P145" s="57">
        <v>14</v>
      </c>
      <c r="Q145" s="60">
        <v>15</v>
      </c>
      <c r="R145" s="1"/>
      <c r="S145" s="1"/>
    </row>
    <row r="146" spans="1:19" ht="16.5" customHeight="1" x14ac:dyDescent="0.25">
      <c r="A146" s="224"/>
      <c r="B146" s="702" t="s">
        <v>21</v>
      </c>
      <c r="C146" s="446"/>
      <c r="D146" s="447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"/>
      <c r="S146" s="1"/>
    </row>
    <row r="147" spans="1:19" ht="19.5" customHeight="1" x14ac:dyDescent="0.25">
      <c r="A147" s="115">
        <v>3</v>
      </c>
      <c r="B147" s="439" t="s">
        <v>56</v>
      </c>
      <c r="C147" s="440"/>
      <c r="D147" s="441"/>
      <c r="E147" s="128" t="s">
        <v>23</v>
      </c>
      <c r="F147" s="129">
        <v>5.8</v>
      </c>
      <c r="G147" s="129">
        <v>8.3000000000000007</v>
      </c>
      <c r="H147" s="129">
        <v>14.83</v>
      </c>
      <c r="I147" s="129">
        <v>157</v>
      </c>
      <c r="J147" s="129">
        <v>0.04</v>
      </c>
      <c r="K147" s="129">
        <v>0.04</v>
      </c>
      <c r="L147" s="129">
        <v>0.03</v>
      </c>
      <c r="M147" s="129">
        <v>0.11</v>
      </c>
      <c r="N147" s="129">
        <v>139.19999999999999</v>
      </c>
      <c r="O147" s="129">
        <v>9.4499999999999993</v>
      </c>
      <c r="P147" s="129">
        <v>96</v>
      </c>
      <c r="Q147" s="129">
        <v>0.49</v>
      </c>
      <c r="R147" s="29"/>
      <c r="S147" s="29"/>
    </row>
    <row r="148" spans="1:19" ht="19.5" customHeight="1" x14ac:dyDescent="0.25">
      <c r="A148" s="157">
        <v>50</v>
      </c>
      <c r="B148" s="555" t="s">
        <v>96</v>
      </c>
      <c r="C148" s="440"/>
      <c r="D148" s="441"/>
      <c r="E148" s="157">
        <v>100</v>
      </c>
      <c r="F148" s="159">
        <v>1.6</v>
      </c>
      <c r="G148" s="159">
        <v>3.16</v>
      </c>
      <c r="H148" s="159">
        <v>8.15</v>
      </c>
      <c r="I148" s="159">
        <f>116.8*E148/100</f>
        <v>116.8</v>
      </c>
      <c r="J148" s="159">
        <f>0*E148/100</f>
        <v>0</v>
      </c>
      <c r="K148" s="159">
        <v>0.05</v>
      </c>
      <c r="L148" s="159">
        <f>0*E148/100</f>
        <v>0</v>
      </c>
      <c r="M148" s="159">
        <f>0*E148/100</f>
        <v>0</v>
      </c>
      <c r="N148" s="159">
        <v>12.72</v>
      </c>
      <c r="O148" s="159">
        <v>32.048999999999999</v>
      </c>
      <c r="P148" s="159">
        <v>14.02</v>
      </c>
      <c r="Q148" s="159">
        <v>0.71</v>
      </c>
      <c r="R148" s="17"/>
      <c r="S148" s="17"/>
    </row>
    <row r="149" spans="1:19" ht="16.5" customHeight="1" x14ac:dyDescent="0.25">
      <c r="A149" s="533">
        <v>204</v>
      </c>
      <c r="B149" s="554" t="s">
        <v>97</v>
      </c>
      <c r="C149" s="476"/>
      <c r="D149" s="477"/>
      <c r="E149" s="158">
        <v>250</v>
      </c>
      <c r="F149" s="533">
        <f>13.54*E149/200</f>
        <v>16.925000000000001</v>
      </c>
      <c r="G149" s="533">
        <f>15.3*E149/200</f>
        <v>19.125</v>
      </c>
      <c r="H149" s="533">
        <f>34.11*E149/200</f>
        <v>42.637500000000003</v>
      </c>
      <c r="I149" s="533">
        <f>328.3*E149/200</f>
        <v>410.375</v>
      </c>
      <c r="J149" s="533">
        <f>0*E149/200</f>
        <v>0</v>
      </c>
      <c r="K149" s="533">
        <f>0.22*E149/200</f>
        <v>0.27500000000000002</v>
      </c>
      <c r="L149" s="533">
        <f>0*E149/200</f>
        <v>0</v>
      </c>
      <c r="M149" s="533">
        <f>0*E149/200</f>
        <v>0</v>
      </c>
      <c r="N149" s="533">
        <f>295.2*E149/200</f>
        <v>369</v>
      </c>
      <c r="O149" s="533">
        <f>0*E149/200</f>
        <v>0</v>
      </c>
      <c r="P149" s="533">
        <f>20.32*E149/200</f>
        <v>25.4</v>
      </c>
      <c r="Q149" s="533">
        <f>1.23*E149/200</f>
        <v>1.5375000000000001</v>
      </c>
      <c r="R149" s="17"/>
      <c r="S149" s="17"/>
    </row>
    <row r="150" spans="1:19" ht="15.75" customHeight="1" x14ac:dyDescent="0.25">
      <c r="A150" s="471"/>
      <c r="B150" s="478"/>
      <c r="C150" s="479"/>
      <c r="D150" s="480"/>
      <c r="E150" s="130">
        <f>E149*16/100</f>
        <v>40</v>
      </c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Q150" s="471"/>
      <c r="R150" s="29"/>
      <c r="S150" s="29"/>
    </row>
    <row r="151" spans="1:19" ht="15.75" customHeight="1" x14ac:dyDescent="0.25">
      <c r="A151" s="106" t="s">
        <v>27</v>
      </c>
      <c r="B151" s="439" t="s">
        <v>28</v>
      </c>
      <c r="C151" s="440"/>
      <c r="D151" s="441"/>
      <c r="E151" s="99">
        <v>45</v>
      </c>
      <c r="F151" s="117">
        <f>2.26*E151/30</f>
        <v>3.3899999999999997</v>
      </c>
      <c r="G151" s="117">
        <f>0.23*E151/30</f>
        <v>0.34499999999999997</v>
      </c>
      <c r="H151" s="117">
        <f>14.66*E151/30</f>
        <v>21.990000000000002</v>
      </c>
      <c r="I151" s="117">
        <f>68.86*E151/30</f>
        <v>103.28999999999999</v>
      </c>
      <c r="J151" s="117">
        <v>0</v>
      </c>
      <c r="K151" s="117">
        <v>0</v>
      </c>
      <c r="L151" s="117">
        <v>0</v>
      </c>
      <c r="M151" s="117">
        <v>0</v>
      </c>
      <c r="N151" s="117">
        <f>12.97*E151/30</f>
        <v>19.454999999999998</v>
      </c>
      <c r="O151" s="117">
        <v>0</v>
      </c>
      <c r="P151" s="117">
        <f>2.83*E151/30</f>
        <v>4.2450000000000001</v>
      </c>
      <c r="Q151" s="117">
        <f>0.74*E151/30</f>
        <v>1.1099999999999999</v>
      </c>
      <c r="R151" s="29"/>
      <c r="S151" s="29"/>
    </row>
    <row r="152" spans="1:19" ht="15.75" customHeight="1" x14ac:dyDescent="0.25">
      <c r="A152" s="115">
        <v>382</v>
      </c>
      <c r="B152" s="555" t="s">
        <v>58</v>
      </c>
      <c r="C152" s="440"/>
      <c r="D152" s="441"/>
      <c r="E152" s="130">
        <v>200</v>
      </c>
      <c r="F152" s="130">
        <v>3.08</v>
      </c>
      <c r="G152" s="130">
        <v>2.5</v>
      </c>
      <c r="H152" s="130">
        <v>22.54</v>
      </c>
      <c r="I152" s="130">
        <v>125</v>
      </c>
      <c r="J152" s="130">
        <v>3.2000000000000001E-2</v>
      </c>
      <c r="K152" s="130">
        <v>1</v>
      </c>
      <c r="L152" s="130">
        <v>0.02</v>
      </c>
      <c r="M152" s="130">
        <v>0.09</v>
      </c>
      <c r="N152" s="130">
        <v>121.76</v>
      </c>
      <c r="O152" s="130">
        <v>106.42</v>
      </c>
      <c r="P152" s="130">
        <v>15.8</v>
      </c>
      <c r="Q152" s="130">
        <v>0.39</v>
      </c>
      <c r="R152" s="29"/>
      <c r="S152" s="29"/>
    </row>
    <row r="153" spans="1:19" ht="21.75" customHeight="1" x14ac:dyDescent="0.25">
      <c r="A153" s="102"/>
      <c r="B153" s="713" t="s">
        <v>29</v>
      </c>
      <c r="C153" s="472"/>
      <c r="D153" s="473"/>
      <c r="E153" s="216">
        <f t="shared" ref="E153:Q153" si="27">SUM(E147:E152)</f>
        <v>635</v>
      </c>
      <c r="F153" s="196">
        <f t="shared" si="27"/>
        <v>30.795000000000002</v>
      </c>
      <c r="G153" s="196">
        <f t="shared" si="27"/>
        <v>33.43</v>
      </c>
      <c r="H153" s="196">
        <f t="shared" si="27"/>
        <v>110.14750000000001</v>
      </c>
      <c r="I153" s="196">
        <f t="shared" si="27"/>
        <v>912.46499999999992</v>
      </c>
      <c r="J153" s="196">
        <f t="shared" si="27"/>
        <v>7.2000000000000008E-2</v>
      </c>
      <c r="K153" s="196">
        <f t="shared" si="27"/>
        <v>1.365</v>
      </c>
      <c r="L153" s="196">
        <f t="shared" si="27"/>
        <v>0.05</v>
      </c>
      <c r="M153" s="196">
        <f t="shared" si="27"/>
        <v>0.2</v>
      </c>
      <c r="N153" s="196">
        <f t="shared" si="27"/>
        <v>662.13499999999999</v>
      </c>
      <c r="O153" s="196">
        <f t="shared" si="27"/>
        <v>147.91899999999998</v>
      </c>
      <c r="P153" s="196">
        <f t="shared" si="27"/>
        <v>155.465</v>
      </c>
      <c r="Q153" s="196">
        <f t="shared" si="27"/>
        <v>4.2374999999999998</v>
      </c>
      <c r="R153" s="17"/>
      <c r="S153" s="17"/>
    </row>
    <row r="154" spans="1:19" ht="15.75" customHeight="1" x14ac:dyDescent="0.25">
      <c r="A154" s="201"/>
      <c r="B154" s="522" t="s">
        <v>30</v>
      </c>
      <c r="C154" s="446"/>
      <c r="D154" s="447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"/>
      <c r="S154" s="1"/>
    </row>
    <row r="155" spans="1:19" ht="15.75" customHeight="1" x14ac:dyDescent="0.25">
      <c r="A155" s="106">
        <v>338</v>
      </c>
      <c r="B155" s="439" t="s">
        <v>31</v>
      </c>
      <c r="C155" s="440"/>
      <c r="D155" s="441"/>
      <c r="E155" s="133">
        <v>300</v>
      </c>
      <c r="F155" s="133">
        <v>1.2</v>
      </c>
      <c r="G155" s="134">
        <v>1.2</v>
      </c>
      <c r="H155" s="133">
        <v>29.4</v>
      </c>
      <c r="I155" s="133">
        <v>132</v>
      </c>
      <c r="J155" s="133">
        <v>0</v>
      </c>
      <c r="K155" s="133">
        <v>30</v>
      </c>
      <c r="L155" s="133">
        <v>0</v>
      </c>
      <c r="M155" s="133">
        <v>0</v>
      </c>
      <c r="N155" s="133">
        <v>48</v>
      </c>
      <c r="O155" s="133">
        <v>0</v>
      </c>
      <c r="P155" s="133">
        <v>27</v>
      </c>
      <c r="Q155" s="133">
        <v>6.6</v>
      </c>
      <c r="R155" s="29"/>
      <c r="S155" s="29"/>
    </row>
    <row r="156" spans="1:19" ht="15.75" customHeight="1" x14ac:dyDescent="0.25">
      <c r="A156" s="106"/>
      <c r="B156" s="442" t="s">
        <v>32</v>
      </c>
      <c r="C156" s="472"/>
      <c r="D156" s="473"/>
      <c r="E156" s="106">
        <f t="shared" ref="E156:N156" si="28">E155</f>
        <v>300</v>
      </c>
      <c r="F156" s="106">
        <f t="shared" si="28"/>
        <v>1.2</v>
      </c>
      <c r="G156" s="132">
        <f t="shared" si="28"/>
        <v>1.2</v>
      </c>
      <c r="H156" s="106">
        <f t="shared" si="28"/>
        <v>29.4</v>
      </c>
      <c r="I156" s="106">
        <f t="shared" si="28"/>
        <v>132</v>
      </c>
      <c r="J156" s="106">
        <f t="shared" si="28"/>
        <v>0</v>
      </c>
      <c r="K156" s="106">
        <f t="shared" si="28"/>
        <v>30</v>
      </c>
      <c r="L156" s="106">
        <f t="shared" si="28"/>
        <v>0</v>
      </c>
      <c r="M156" s="106">
        <f t="shared" si="28"/>
        <v>0</v>
      </c>
      <c r="N156" s="106">
        <f t="shared" si="28"/>
        <v>48</v>
      </c>
      <c r="O156" s="106">
        <f>SUM(O155)</f>
        <v>0</v>
      </c>
      <c r="P156" s="106">
        <f t="shared" ref="P156:Q156" si="29">P155</f>
        <v>27</v>
      </c>
      <c r="Q156" s="106">
        <f t="shared" si="29"/>
        <v>6.6</v>
      </c>
      <c r="R156" s="17"/>
      <c r="S156" s="17"/>
    </row>
    <row r="157" spans="1:19" ht="15.75" customHeight="1" x14ac:dyDescent="0.25">
      <c r="A157" s="201"/>
      <c r="B157" s="522" t="s">
        <v>33</v>
      </c>
      <c r="C157" s="446"/>
      <c r="D157" s="447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"/>
      <c r="S157" s="1"/>
    </row>
    <row r="158" spans="1:19" ht="15.75" customHeight="1" x14ac:dyDescent="0.25">
      <c r="A158" s="106">
        <v>75</v>
      </c>
      <c r="B158" s="540" t="s">
        <v>98</v>
      </c>
      <c r="C158" s="440"/>
      <c r="D158" s="441"/>
      <c r="E158" s="100">
        <v>100</v>
      </c>
      <c r="F158" s="117">
        <v>2.1</v>
      </c>
      <c r="G158" s="117">
        <v>6.8</v>
      </c>
      <c r="H158" s="117">
        <v>13.8</v>
      </c>
      <c r="I158" s="117">
        <v>125</v>
      </c>
      <c r="J158" s="117">
        <f>0*E158/100</f>
        <v>0</v>
      </c>
      <c r="K158" s="117">
        <v>5.12</v>
      </c>
      <c r="L158" s="117">
        <v>0</v>
      </c>
      <c r="M158" s="117">
        <v>0</v>
      </c>
      <c r="N158" s="117">
        <v>30.64</v>
      </c>
      <c r="O158" s="117">
        <v>0</v>
      </c>
      <c r="P158" s="117">
        <v>41.28</v>
      </c>
      <c r="Q158" s="117">
        <v>1.22</v>
      </c>
      <c r="R158" s="17"/>
      <c r="S158" s="17"/>
    </row>
    <row r="159" spans="1:19" ht="15.75" customHeight="1" x14ac:dyDescent="0.25">
      <c r="A159" s="546">
        <v>104</v>
      </c>
      <c r="B159" s="542" t="s">
        <v>99</v>
      </c>
      <c r="C159" s="476"/>
      <c r="D159" s="477"/>
      <c r="E159" s="95">
        <v>250</v>
      </c>
      <c r="F159" s="572">
        <f>9.36*(E159+E160)/(250+42)</f>
        <v>9.36</v>
      </c>
      <c r="G159" s="572">
        <f>7.04*(E159+E160)/(250+42)</f>
        <v>7.0399999999999991</v>
      </c>
      <c r="H159" s="572">
        <f>16.02*(E159+E160)/(250+42)</f>
        <v>16.02</v>
      </c>
      <c r="I159" s="572">
        <f>178.92*(E159+E160)/(250+42)</f>
        <v>178.92</v>
      </c>
      <c r="J159" s="572" t="s">
        <v>35</v>
      </c>
      <c r="K159" s="572">
        <f>11.44*(E159+E160)/(250+42)</f>
        <v>11.44</v>
      </c>
      <c r="L159" s="572">
        <f>0*(E159+E160)/(250+42)</f>
        <v>0</v>
      </c>
      <c r="M159" s="572">
        <f>0*(E159+E160)/(250+42)</f>
        <v>0</v>
      </c>
      <c r="N159" s="572">
        <f>38.1*(E159+E160)/(250+42)</f>
        <v>38.1</v>
      </c>
      <c r="O159" s="572">
        <f>0*(E159+E160)/(250+42)</f>
        <v>0</v>
      </c>
      <c r="P159" s="572">
        <f>41.93*(E159+E160)/(250+42)</f>
        <v>41.93</v>
      </c>
      <c r="Q159" s="572">
        <f>1.73*(E159+E160)/(250+42)</f>
        <v>1.73</v>
      </c>
      <c r="R159" s="17"/>
      <c r="S159" s="17"/>
    </row>
    <row r="160" spans="1:19" ht="16.5" customHeight="1" x14ac:dyDescent="0.25">
      <c r="A160" s="471"/>
      <c r="B160" s="478"/>
      <c r="C160" s="479"/>
      <c r="D160" s="480"/>
      <c r="E160" s="95">
        <f>E159*16.8/100</f>
        <v>42</v>
      </c>
      <c r="F160" s="471"/>
      <c r="G160" s="471"/>
      <c r="H160" s="471"/>
      <c r="I160" s="471"/>
      <c r="J160" s="471"/>
      <c r="K160" s="471"/>
      <c r="L160" s="471"/>
      <c r="M160" s="471"/>
      <c r="N160" s="471"/>
      <c r="O160" s="471"/>
      <c r="P160" s="471"/>
      <c r="Q160" s="471"/>
      <c r="R160" s="39"/>
      <c r="S160" s="39"/>
    </row>
    <row r="161" spans="1:19" ht="20.25" customHeight="1" x14ac:dyDescent="0.25">
      <c r="A161" s="533">
        <v>229</v>
      </c>
      <c r="B161" s="542" t="s">
        <v>100</v>
      </c>
      <c r="C161" s="476"/>
      <c r="D161" s="477"/>
      <c r="E161" s="95">
        <v>120</v>
      </c>
      <c r="F161" s="572">
        <v>20.16</v>
      </c>
      <c r="G161" s="572">
        <v>9.9</v>
      </c>
      <c r="H161" s="572">
        <v>7.6</v>
      </c>
      <c r="I161" s="572">
        <v>210</v>
      </c>
      <c r="J161" s="572">
        <f>0*(E161+E162)/(120+100)</f>
        <v>0</v>
      </c>
      <c r="K161" s="572">
        <v>20</v>
      </c>
      <c r="L161" s="572">
        <v>0.1</v>
      </c>
      <c r="M161" s="572">
        <v>7.46</v>
      </c>
      <c r="N161" s="572">
        <v>78.14</v>
      </c>
      <c r="O161" s="572">
        <f>0*(E161+E162)/(120+100)</f>
        <v>0</v>
      </c>
      <c r="P161" s="572">
        <v>97.06</v>
      </c>
      <c r="Q161" s="572">
        <v>1.7</v>
      </c>
      <c r="R161" s="18"/>
      <c r="S161" s="18"/>
    </row>
    <row r="162" spans="1:19" ht="15.75" customHeight="1" x14ac:dyDescent="0.25">
      <c r="A162" s="471"/>
      <c r="B162" s="478"/>
      <c r="C162" s="479"/>
      <c r="D162" s="480"/>
      <c r="E162" s="208">
        <f>E161*83.335/100</f>
        <v>100.002</v>
      </c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Q162" s="471"/>
      <c r="R162" s="29"/>
      <c r="S162" s="29"/>
    </row>
    <row r="163" spans="1:19" ht="15.75" customHeight="1" x14ac:dyDescent="0.25">
      <c r="A163" s="223">
        <v>310</v>
      </c>
      <c r="B163" s="439" t="s">
        <v>91</v>
      </c>
      <c r="C163" s="440"/>
      <c r="D163" s="441"/>
      <c r="E163" s="208">
        <v>220</v>
      </c>
      <c r="F163" s="209">
        <v>3.9</v>
      </c>
      <c r="G163" s="209">
        <v>10.45</v>
      </c>
      <c r="H163" s="209">
        <v>30.68</v>
      </c>
      <c r="I163" s="209">
        <v>231</v>
      </c>
      <c r="J163" s="205">
        <v>0.03</v>
      </c>
      <c r="K163" s="205">
        <v>0.22</v>
      </c>
      <c r="L163" s="205">
        <v>4.53</v>
      </c>
      <c r="M163" s="205">
        <v>28</v>
      </c>
      <c r="N163" s="205">
        <v>19.52</v>
      </c>
      <c r="O163" s="205">
        <v>39.1</v>
      </c>
      <c r="P163" s="205">
        <v>40.049999999999997</v>
      </c>
      <c r="Q163" s="205">
        <v>4.53</v>
      </c>
      <c r="R163" s="17"/>
      <c r="S163" s="17"/>
    </row>
    <row r="164" spans="1:19" ht="15.75" customHeight="1" x14ac:dyDescent="0.25">
      <c r="A164" s="106">
        <v>389</v>
      </c>
      <c r="B164" s="439" t="s">
        <v>71</v>
      </c>
      <c r="C164" s="440"/>
      <c r="D164" s="441"/>
      <c r="E164" s="95">
        <v>200</v>
      </c>
      <c r="F164" s="129">
        <v>1</v>
      </c>
      <c r="G164" s="129">
        <v>0</v>
      </c>
      <c r="H164" s="129">
        <v>20.2</v>
      </c>
      <c r="I164" s="129">
        <v>84.8</v>
      </c>
      <c r="J164" s="129">
        <v>0</v>
      </c>
      <c r="K164" s="129">
        <v>4</v>
      </c>
      <c r="L164" s="129">
        <v>0</v>
      </c>
      <c r="M164" s="129">
        <v>0</v>
      </c>
      <c r="N164" s="129">
        <v>14</v>
      </c>
      <c r="O164" s="129">
        <v>0</v>
      </c>
      <c r="P164" s="129">
        <v>8</v>
      </c>
      <c r="Q164" s="129">
        <v>2.8</v>
      </c>
      <c r="R164" s="29"/>
      <c r="S164" s="29"/>
    </row>
    <row r="165" spans="1:19" ht="15.75" customHeight="1" x14ac:dyDescent="0.25">
      <c r="A165" s="106" t="s">
        <v>27</v>
      </c>
      <c r="B165" s="41" t="s">
        <v>39</v>
      </c>
      <c r="C165" s="41"/>
      <c r="D165" s="41"/>
      <c r="E165" s="99">
        <v>120</v>
      </c>
      <c r="F165" s="117">
        <v>6.8</v>
      </c>
      <c r="G165" s="117">
        <v>1.28</v>
      </c>
      <c r="H165" s="117">
        <v>29.6</v>
      </c>
      <c r="I165" s="117">
        <v>157</v>
      </c>
      <c r="J165" s="117">
        <v>0</v>
      </c>
      <c r="K165" s="117">
        <v>0</v>
      </c>
      <c r="L165" s="117">
        <v>0.22</v>
      </c>
      <c r="M165" s="117">
        <v>0</v>
      </c>
      <c r="N165" s="117">
        <v>34.4</v>
      </c>
      <c r="O165" s="117">
        <v>0</v>
      </c>
      <c r="P165" s="117">
        <v>61.6</v>
      </c>
      <c r="Q165" s="117">
        <v>4</v>
      </c>
      <c r="R165" s="17"/>
      <c r="S165" s="17"/>
    </row>
    <row r="166" spans="1:19" ht="15.75" customHeight="1" x14ac:dyDescent="0.25">
      <c r="A166" s="106" t="s">
        <v>27</v>
      </c>
      <c r="B166" s="439" t="s">
        <v>28</v>
      </c>
      <c r="C166" s="440"/>
      <c r="D166" s="441"/>
      <c r="E166" s="99">
        <v>45</v>
      </c>
      <c r="F166" s="117">
        <v>3.94</v>
      </c>
      <c r="G166" s="117">
        <v>0.57999999999999996</v>
      </c>
      <c r="H166" s="117">
        <v>22</v>
      </c>
      <c r="I166" s="117">
        <v>108.98</v>
      </c>
      <c r="J166" s="117">
        <v>6.6000000000000003E-2</v>
      </c>
      <c r="K166" s="117">
        <v>0</v>
      </c>
      <c r="L166" s="117">
        <v>0</v>
      </c>
      <c r="M166" s="117">
        <v>1.32</v>
      </c>
      <c r="N166" s="117">
        <v>22.2</v>
      </c>
      <c r="O166" s="117">
        <v>106.8</v>
      </c>
      <c r="P166" s="117">
        <v>33</v>
      </c>
      <c r="Q166" s="117">
        <v>1.62</v>
      </c>
      <c r="R166" s="17"/>
      <c r="S166" s="17"/>
    </row>
    <row r="167" spans="1:19" ht="15.75" customHeight="1" x14ac:dyDescent="0.25">
      <c r="A167" s="106"/>
      <c r="B167" s="442" t="s">
        <v>65</v>
      </c>
      <c r="C167" s="472"/>
      <c r="D167" s="473"/>
      <c r="E167" s="100">
        <f t="shared" ref="E167:Q167" si="30">SUM(E158:E166)</f>
        <v>1197.002</v>
      </c>
      <c r="F167" s="117">
        <f t="shared" si="30"/>
        <v>47.259999999999991</v>
      </c>
      <c r="G167" s="117">
        <f t="shared" si="30"/>
        <v>36.049999999999997</v>
      </c>
      <c r="H167" s="117">
        <f t="shared" si="30"/>
        <v>139.9</v>
      </c>
      <c r="I167" s="117">
        <f t="shared" si="30"/>
        <v>1095.6999999999998</v>
      </c>
      <c r="J167" s="117">
        <f t="shared" si="30"/>
        <v>9.6000000000000002E-2</v>
      </c>
      <c r="K167" s="117">
        <f t="shared" si="30"/>
        <v>40.78</v>
      </c>
      <c r="L167" s="117">
        <f t="shared" si="30"/>
        <v>4.8499999999999996</v>
      </c>
      <c r="M167" s="117">
        <f t="shared" si="30"/>
        <v>36.78</v>
      </c>
      <c r="N167" s="117">
        <f t="shared" si="30"/>
        <v>237</v>
      </c>
      <c r="O167" s="117">
        <f t="shared" si="30"/>
        <v>145.9</v>
      </c>
      <c r="P167" s="117">
        <f t="shared" si="30"/>
        <v>322.92</v>
      </c>
      <c r="Q167" s="117">
        <f t="shared" si="30"/>
        <v>17.600000000000001</v>
      </c>
      <c r="R167" s="17"/>
      <c r="S167" s="17"/>
    </row>
    <row r="168" spans="1:19" ht="15.75" customHeight="1" x14ac:dyDescent="0.25">
      <c r="A168" s="201"/>
      <c r="B168" s="445" t="s">
        <v>41</v>
      </c>
      <c r="C168" s="446"/>
      <c r="D168" s="447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"/>
      <c r="S168" s="1"/>
    </row>
    <row r="169" spans="1:19" ht="14.25" customHeight="1" x14ac:dyDescent="0.25">
      <c r="A169" s="106" t="s">
        <v>84</v>
      </c>
      <c r="B169" s="703" t="s">
        <v>101</v>
      </c>
      <c r="C169" s="704"/>
      <c r="D169" s="564"/>
      <c r="E169" s="102">
        <v>150</v>
      </c>
      <c r="F169" s="102">
        <v>10.244999999999999</v>
      </c>
      <c r="G169" s="102">
        <v>7.9950000000000001</v>
      </c>
      <c r="H169" s="102">
        <v>58.95</v>
      </c>
      <c r="I169" s="102">
        <v>351</v>
      </c>
      <c r="J169" s="102">
        <v>0</v>
      </c>
      <c r="K169" s="106">
        <v>1.2749999999999999</v>
      </c>
      <c r="L169" s="102">
        <v>0</v>
      </c>
      <c r="M169" s="102">
        <v>0</v>
      </c>
      <c r="N169" s="102">
        <v>34.244999999999997</v>
      </c>
      <c r="O169" s="102">
        <v>0</v>
      </c>
      <c r="P169" s="102">
        <v>42</v>
      </c>
      <c r="Q169" s="102">
        <v>2.0249999999999999</v>
      </c>
      <c r="R169" s="29"/>
      <c r="S169" s="29"/>
    </row>
    <row r="170" spans="1:19" ht="14.25" customHeight="1" x14ac:dyDescent="0.25">
      <c r="A170" s="106">
        <v>379</v>
      </c>
      <c r="B170" s="705" t="s">
        <v>102</v>
      </c>
      <c r="C170" s="646"/>
      <c r="D170" s="647"/>
      <c r="E170" s="115">
        <v>200</v>
      </c>
      <c r="F170" s="115">
        <v>3.58</v>
      </c>
      <c r="G170" s="115">
        <v>2.68</v>
      </c>
      <c r="H170" s="115">
        <v>28.34</v>
      </c>
      <c r="I170" s="115">
        <v>151.80000000000001</v>
      </c>
      <c r="J170" s="115">
        <v>0.02</v>
      </c>
      <c r="K170" s="115">
        <v>1.3</v>
      </c>
      <c r="L170" s="115">
        <v>0</v>
      </c>
      <c r="M170" s="115">
        <v>0</v>
      </c>
      <c r="N170" s="115">
        <v>125.78</v>
      </c>
      <c r="O170" s="115">
        <v>14</v>
      </c>
      <c r="P170" s="115">
        <v>14</v>
      </c>
      <c r="Q170" s="115">
        <v>0.13</v>
      </c>
      <c r="R170" s="29"/>
      <c r="S170" s="29"/>
    </row>
    <row r="171" spans="1:19" ht="14.25" customHeight="1" x14ac:dyDescent="0.25">
      <c r="A171" s="106"/>
      <c r="B171" s="442" t="s">
        <v>67</v>
      </c>
      <c r="C171" s="472"/>
      <c r="D171" s="473"/>
      <c r="E171" s="106">
        <f t="shared" ref="E171:Q171" si="31">SUM(E169:E170)</f>
        <v>350</v>
      </c>
      <c r="F171" s="106">
        <f t="shared" si="31"/>
        <v>13.824999999999999</v>
      </c>
      <c r="G171" s="106">
        <f t="shared" si="31"/>
        <v>10.675000000000001</v>
      </c>
      <c r="H171" s="106">
        <f t="shared" si="31"/>
        <v>87.29</v>
      </c>
      <c r="I171" s="106">
        <f t="shared" si="31"/>
        <v>502.8</v>
      </c>
      <c r="J171" s="106">
        <f t="shared" si="31"/>
        <v>0.02</v>
      </c>
      <c r="K171" s="132">
        <f t="shared" si="31"/>
        <v>2.5750000000000002</v>
      </c>
      <c r="L171" s="106">
        <f t="shared" si="31"/>
        <v>0</v>
      </c>
      <c r="M171" s="106">
        <f t="shared" si="31"/>
        <v>0</v>
      </c>
      <c r="N171" s="106">
        <f t="shared" si="31"/>
        <v>160.02500000000001</v>
      </c>
      <c r="O171" s="106">
        <f t="shared" si="31"/>
        <v>14</v>
      </c>
      <c r="P171" s="106">
        <f t="shared" si="31"/>
        <v>56</v>
      </c>
      <c r="Q171" s="106">
        <f t="shared" si="31"/>
        <v>2.1549999999999998</v>
      </c>
      <c r="R171" s="17"/>
      <c r="S171" s="17"/>
    </row>
    <row r="172" spans="1:19" ht="15.75" customHeight="1" x14ac:dyDescent="0.25">
      <c r="A172" s="201"/>
      <c r="B172" s="474" t="s">
        <v>44</v>
      </c>
      <c r="C172" s="446"/>
      <c r="D172" s="447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"/>
      <c r="S172" s="1"/>
    </row>
    <row r="173" spans="1:19" ht="15.75" customHeight="1" x14ac:dyDescent="0.25">
      <c r="A173" s="106">
        <v>71</v>
      </c>
      <c r="B173" s="439" t="s">
        <v>103</v>
      </c>
      <c r="C173" s="440"/>
      <c r="D173" s="441"/>
      <c r="E173" s="100">
        <v>100</v>
      </c>
      <c r="F173" s="117">
        <f>1.2*E173/100</f>
        <v>1.2</v>
      </c>
      <c r="G173" s="117">
        <f>0*E173/100</f>
        <v>0</v>
      </c>
      <c r="H173" s="117">
        <f>4.6*E173/100</f>
        <v>4.5999999999999996</v>
      </c>
      <c r="I173" s="117">
        <f>23.2*E173/100</f>
        <v>23.2</v>
      </c>
      <c r="J173" s="117">
        <f>0*E173/100</f>
        <v>0</v>
      </c>
      <c r="K173" s="117">
        <f>25*E173/100</f>
        <v>25</v>
      </c>
      <c r="L173" s="117">
        <v>0</v>
      </c>
      <c r="M173" s="117">
        <v>0</v>
      </c>
      <c r="N173" s="117">
        <f>14*E173/100</f>
        <v>14</v>
      </c>
      <c r="O173" s="117">
        <v>0</v>
      </c>
      <c r="P173" s="117">
        <f>9.34*E173/100</f>
        <v>9.34</v>
      </c>
      <c r="Q173" s="117">
        <f>0.9*E173/100</f>
        <v>0.9</v>
      </c>
      <c r="R173" s="17"/>
      <c r="S173" s="17"/>
    </row>
    <row r="174" spans="1:19" ht="15.75" customHeight="1" x14ac:dyDescent="0.25">
      <c r="A174" s="627">
        <v>250</v>
      </c>
      <c r="B174" s="707" t="s">
        <v>104</v>
      </c>
      <c r="C174" s="476"/>
      <c r="D174" s="477"/>
      <c r="E174" s="217">
        <v>120</v>
      </c>
      <c r="F174" s="706">
        <f>29.02*E174/120</f>
        <v>29.02</v>
      </c>
      <c r="G174" s="706">
        <f>21.86*E174/120</f>
        <v>21.86</v>
      </c>
      <c r="H174" s="706">
        <f>6.58*E174/120</f>
        <v>6.58</v>
      </c>
      <c r="I174" s="706">
        <f>339.14*E174/120</f>
        <v>339.14</v>
      </c>
      <c r="J174" s="706" t="s">
        <v>35</v>
      </c>
      <c r="K174" s="706">
        <f>0.02*E174/120</f>
        <v>0.02</v>
      </c>
      <c r="L174" s="706">
        <v>0</v>
      </c>
      <c r="M174" s="706">
        <v>0</v>
      </c>
      <c r="N174" s="706">
        <f>66.8*E174/120</f>
        <v>66.8</v>
      </c>
      <c r="O174" s="706">
        <v>0</v>
      </c>
      <c r="P174" s="706">
        <f>41*E174/120</f>
        <v>41</v>
      </c>
      <c r="Q174" s="706">
        <f>1.98*E174/120</f>
        <v>1.98</v>
      </c>
      <c r="R174" s="61"/>
      <c r="S174" s="61"/>
    </row>
    <row r="175" spans="1:19" ht="15.75" customHeight="1" x14ac:dyDescent="0.25">
      <c r="A175" s="471"/>
      <c r="B175" s="640"/>
      <c r="C175" s="479"/>
      <c r="D175" s="480"/>
      <c r="E175" s="217">
        <f>E174*83.3335/100</f>
        <v>100.00020000000001</v>
      </c>
      <c r="F175" s="603"/>
      <c r="G175" s="603"/>
      <c r="H175" s="603"/>
      <c r="I175" s="603"/>
      <c r="J175" s="603"/>
      <c r="K175" s="603"/>
      <c r="L175" s="603"/>
      <c r="M175" s="603"/>
      <c r="N175" s="603"/>
      <c r="O175" s="603"/>
      <c r="P175" s="603"/>
      <c r="Q175" s="603"/>
      <c r="R175" s="61"/>
      <c r="S175" s="61"/>
    </row>
    <row r="176" spans="1:19" ht="15.75" customHeight="1" x14ac:dyDescent="0.25">
      <c r="A176" s="546">
        <v>171</v>
      </c>
      <c r="B176" s="539" t="s">
        <v>70</v>
      </c>
      <c r="C176" s="476"/>
      <c r="D176" s="477"/>
      <c r="E176" s="115">
        <v>220</v>
      </c>
      <c r="F176" s="572">
        <f>3.76*(E176+E177)/(200+50)</f>
        <v>3.4140799999999998</v>
      </c>
      <c r="G176" s="572">
        <f>8.15*(E176+E177)/(200+50)</f>
        <v>7.4002000000000008</v>
      </c>
      <c r="H176" s="572">
        <f>19.02*(E176+E177)/(200+50)</f>
        <v>17.270160000000001</v>
      </c>
      <c r="I176" s="572">
        <f>164.4*(E176+E177)/(200+50)</f>
        <v>149.27520000000001</v>
      </c>
      <c r="J176" s="572">
        <v>0</v>
      </c>
      <c r="K176" s="572">
        <f>13.57*(E176+E177)/(200+50)</f>
        <v>12.32156</v>
      </c>
      <c r="L176" s="572">
        <v>0</v>
      </c>
      <c r="M176" s="572">
        <v>0</v>
      </c>
      <c r="N176" s="572">
        <f>53.12*(E176+E177)/(200+50)</f>
        <v>48.232959999999999</v>
      </c>
      <c r="O176" s="572">
        <v>0</v>
      </c>
      <c r="P176" s="572">
        <f>42.66*(E176+E177)/(200+50)</f>
        <v>38.735279999999996</v>
      </c>
      <c r="Q176" s="572">
        <f>1.54*(E176+E177)/(200+50)</f>
        <v>1.39832</v>
      </c>
      <c r="R176" s="19"/>
      <c r="S176" s="17"/>
    </row>
    <row r="177" spans="1:19" ht="15.75" customHeight="1" x14ac:dyDescent="0.25">
      <c r="A177" s="471"/>
      <c r="B177" s="478"/>
      <c r="C177" s="479"/>
      <c r="D177" s="480"/>
      <c r="E177" s="100">
        <v>7</v>
      </c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Q177" s="471"/>
      <c r="R177" s="29"/>
      <c r="S177" s="29"/>
    </row>
    <row r="178" spans="1:19" ht="15.75" customHeight="1" x14ac:dyDescent="0.25">
      <c r="A178" s="106">
        <v>389</v>
      </c>
      <c r="B178" s="540" t="s">
        <v>92</v>
      </c>
      <c r="C178" s="440"/>
      <c r="D178" s="441"/>
      <c r="E178" s="100">
        <v>200</v>
      </c>
      <c r="F178" s="117">
        <v>1</v>
      </c>
      <c r="G178" s="117">
        <v>0</v>
      </c>
      <c r="H178" s="117">
        <v>20.2</v>
      </c>
      <c r="I178" s="117">
        <v>84.8</v>
      </c>
      <c r="J178" s="117">
        <v>0</v>
      </c>
      <c r="K178" s="117">
        <v>4</v>
      </c>
      <c r="L178" s="117">
        <v>0</v>
      </c>
      <c r="M178" s="117">
        <v>0</v>
      </c>
      <c r="N178" s="117">
        <v>14</v>
      </c>
      <c r="O178" s="117">
        <v>0</v>
      </c>
      <c r="P178" s="117">
        <v>8</v>
      </c>
      <c r="Q178" s="117">
        <v>2.8</v>
      </c>
      <c r="R178" s="29"/>
      <c r="S178" s="29"/>
    </row>
    <row r="179" spans="1:19" ht="15.75" customHeight="1" x14ac:dyDescent="0.25">
      <c r="A179" s="106" t="s">
        <v>27</v>
      </c>
      <c r="B179" s="41" t="s">
        <v>39</v>
      </c>
      <c r="C179" s="41"/>
      <c r="D179" s="41"/>
      <c r="E179" s="99">
        <v>75</v>
      </c>
      <c r="F179" s="117">
        <f>4.03*E179/50</f>
        <v>6.0449999999999999</v>
      </c>
      <c r="G179" s="117">
        <f>0.5*E179/50</f>
        <v>0.75</v>
      </c>
      <c r="H179" s="117">
        <f>22.36*E179/50</f>
        <v>33.54</v>
      </c>
      <c r="I179" s="117">
        <f>98.86*E179/50</f>
        <v>148.29</v>
      </c>
      <c r="J179" s="117">
        <v>0</v>
      </c>
      <c r="K179" s="117">
        <v>0</v>
      </c>
      <c r="L179" s="117">
        <v>0</v>
      </c>
      <c r="M179" s="117">
        <v>0</v>
      </c>
      <c r="N179" s="117">
        <f>17.59*E179/50</f>
        <v>26.385000000000002</v>
      </c>
      <c r="O179" s="117">
        <v>0</v>
      </c>
      <c r="P179" s="117">
        <f>1.89*E179/50</f>
        <v>2.835</v>
      </c>
      <c r="Q179" s="117">
        <f>0.88*E179/50</f>
        <v>1.32</v>
      </c>
      <c r="R179" s="17"/>
      <c r="S179" s="17"/>
    </row>
    <row r="180" spans="1:19" ht="15.75" customHeight="1" x14ac:dyDescent="0.25">
      <c r="A180" s="106" t="s">
        <v>27</v>
      </c>
      <c r="B180" s="439" t="s">
        <v>28</v>
      </c>
      <c r="C180" s="440"/>
      <c r="D180" s="441"/>
      <c r="E180" s="99">
        <v>45</v>
      </c>
      <c r="F180" s="117">
        <f>2.26*E180/30</f>
        <v>3.3899999999999997</v>
      </c>
      <c r="G180" s="117">
        <f>0.23*E180/30</f>
        <v>0.34499999999999997</v>
      </c>
      <c r="H180" s="117">
        <f>14.66*E180/30</f>
        <v>21.990000000000002</v>
      </c>
      <c r="I180" s="117">
        <f>68.86*E180/30</f>
        <v>103.28999999999999</v>
      </c>
      <c r="J180" s="117">
        <v>0</v>
      </c>
      <c r="K180" s="117">
        <v>0</v>
      </c>
      <c r="L180" s="117">
        <v>0</v>
      </c>
      <c r="M180" s="117">
        <v>0</v>
      </c>
      <c r="N180" s="117">
        <f>12.97*E180/30</f>
        <v>19.454999999999998</v>
      </c>
      <c r="O180" s="117">
        <v>0</v>
      </c>
      <c r="P180" s="117">
        <f>2.83*E180/30</f>
        <v>4.2450000000000001</v>
      </c>
      <c r="Q180" s="117">
        <f>0.74*E180/30</f>
        <v>1.1099999999999999</v>
      </c>
      <c r="R180" s="17"/>
      <c r="S180" s="17"/>
    </row>
    <row r="181" spans="1:19" ht="15.75" customHeight="1" x14ac:dyDescent="0.25">
      <c r="A181" s="106"/>
      <c r="B181" s="442" t="s">
        <v>72</v>
      </c>
      <c r="C181" s="472"/>
      <c r="D181" s="473"/>
      <c r="E181" s="99">
        <f t="shared" ref="E181:Q181" si="32">SUM(E173:E180)</f>
        <v>867.00019999999995</v>
      </c>
      <c r="F181" s="117">
        <f t="shared" si="32"/>
        <v>44.06908</v>
      </c>
      <c r="G181" s="117">
        <f t="shared" si="32"/>
        <v>30.3552</v>
      </c>
      <c r="H181" s="117">
        <f t="shared" si="32"/>
        <v>104.18016</v>
      </c>
      <c r="I181" s="117">
        <f t="shared" si="32"/>
        <v>847.99519999999984</v>
      </c>
      <c r="J181" s="117">
        <f t="shared" si="32"/>
        <v>0</v>
      </c>
      <c r="K181" s="117">
        <f t="shared" si="32"/>
        <v>41.341560000000001</v>
      </c>
      <c r="L181" s="117">
        <f t="shared" si="32"/>
        <v>0</v>
      </c>
      <c r="M181" s="117">
        <f t="shared" si="32"/>
        <v>0</v>
      </c>
      <c r="N181" s="117">
        <f t="shared" si="32"/>
        <v>188.87295999999998</v>
      </c>
      <c r="O181" s="117">
        <f t="shared" si="32"/>
        <v>0</v>
      </c>
      <c r="P181" s="117">
        <f t="shared" si="32"/>
        <v>104.15527999999999</v>
      </c>
      <c r="Q181" s="117">
        <f t="shared" si="32"/>
        <v>9.5083199999999994</v>
      </c>
      <c r="R181" s="17"/>
      <c r="S181" s="17"/>
    </row>
    <row r="182" spans="1:19" ht="15.75" customHeight="1" x14ac:dyDescent="0.25">
      <c r="A182" s="201"/>
      <c r="B182" s="474" t="s">
        <v>73</v>
      </c>
      <c r="C182" s="446"/>
      <c r="D182" s="447"/>
      <c r="E182" s="106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"/>
      <c r="S182" s="1"/>
    </row>
    <row r="183" spans="1:19" ht="33" customHeight="1" x14ac:dyDescent="0.25">
      <c r="A183" s="106">
        <v>386</v>
      </c>
      <c r="B183" s="544" t="s">
        <v>74</v>
      </c>
      <c r="C183" s="440"/>
      <c r="D183" s="441"/>
      <c r="E183" s="218">
        <v>200</v>
      </c>
      <c r="F183" s="194">
        <v>4.32</v>
      </c>
      <c r="G183" s="194">
        <v>2.5</v>
      </c>
      <c r="H183" s="194">
        <v>9.8800000000000008</v>
      </c>
      <c r="I183" s="194">
        <v>82.54</v>
      </c>
      <c r="J183" s="194">
        <v>0</v>
      </c>
      <c r="K183" s="194">
        <v>0</v>
      </c>
      <c r="L183" s="194">
        <v>0</v>
      </c>
      <c r="M183" s="194">
        <v>0</v>
      </c>
      <c r="N183" s="194">
        <v>120.96</v>
      </c>
      <c r="O183" s="194">
        <v>0</v>
      </c>
      <c r="P183" s="194">
        <v>14.11</v>
      </c>
      <c r="Q183" s="194">
        <v>0.1</v>
      </c>
      <c r="R183" s="29"/>
      <c r="S183" s="29"/>
    </row>
    <row r="184" spans="1:19" ht="33" customHeight="1" x14ac:dyDescent="0.25">
      <c r="A184" s="106" t="s">
        <v>27</v>
      </c>
      <c r="B184" s="439" t="s">
        <v>105</v>
      </c>
      <c r="C184" s="440"/>
      <c r="D184" s="441"/>
      <c r="E184" s="115">
        <v>25</v>
      </c>
      <c r="F184" s="115">
        <v>1.25</v>
      </c>
      <c r="G184" s="115">
        <v>1.48</v>
      </c>
      <c r="H184" s="115">
        <v>34.89</v>
      </c>
      <c r="I184" s="115">
        <v>160.75</v>
      </c>
      <c r="J184" s="115">
        <v>0</v>
      </c>
      <c r="K184" s="115">
        <v>0.1</v>
      </c>
      <c r="L184" s="115">
        <v>0</v>
      </c>
      <c r="M184" s="115">
        <v>0</v>
      </c>
      <c r="N184" s="115">
        <v>6.8</v>
      </c>
      <c r="O184" s="115">
        <v>0</v>
      </c>
      <c r="P184" s="115">
        <v>4.53</v>
      </c>
      <c r="Q184" s="115">
        <v>0.9</v>
      </c>
      <c r="R184" s="29"/>
      <c r="S184" s="29"/>
    </row>
    <row r="185" spans="1:19" ht="15.75" customHeight="1" x14ac:dyDescent="0.25">
      <c r="A185" s="106"/>
      <c r="B185" s="442" t="s">
        <v>52</v>
      </c>
      <c r="C185" s="472"/>
      <c r="D185" s="473"/>
      <c r="E185" s="100">
        <f t="shared" ref="E185:Q185" si="33">SUM(E183:E184)</f>
        <v>225</v>
      </c>
      <c r="F185" s="117">
        <f t="shared" si="33"/>
        <v>5.57</v>
      </c>
      <c r="G185" s="117">
        <f t="shared" si="33"/>
        <v>3.98</v>
      </c>
      <c r="H185" s="117">
        <f t="shared" si="33"/>
        <v>44.77</v>
      </c>
      <c r="I185" s="117">
        <f t="shared" si="33"/>
        <v>243.29000000000002</v>
      </c>
      <c r="J185" s="117">
        <f t="shared" si="33"/>
        <v>0</v>
      </c>
      <c r="K185" s="117">
        <f t="shared" si="33"/>
        <v>0.1</v>
      </c>
      <c r="L185" s="117">
        <f t="shared" si="33"/>
        <v>0</v>
      </c>
      <c r="M185" s="117">
        <f t="shared" si="33"/>
        <v>0</v>
      </c>
      <c r="N185" s="117">
        <f t="shared" si="33"/>
        <v>127.75999999999999</v>
      </c>
      <c r="O185" s="117">
        <f t="shared" si="33"/>
        <v>0</v>
      </c>
      <c r="P185" s="117">
        <f t="shared" si="33"/>
        <v>18.64</v>
      </c>
      <c r="Q185" s="117">
        <f t="shared" si="33"/>
        <v>1</v>
      </c>
      <c r="R185" s="17"/>
      <c r="S185" s="17"/>
    </row>
    <row r="186" spans="1:19" s="85" customFormat="1" ht="15.75" customHeight="1" x14ac:dyDescent="0.25">
      <c r="A186" s="106"/>
      <c r="B186" s="436" t="s">
        <v>53</v>
      </c>
      <c r="C186" s="437"/>
      <c r="D186" s="438"/>
      <c r="E186" s="100">
        <v>8</v>
      </c>
      <c r="F186" s="117"/>
      <c r="G186" s="117"/>
      <c r="H186" s="117"/>
      <c r="I186" s="117"/>
      <c r="J186" s="117"/>
      <c r="K186" s="117"/>
      <c r="L186" s="117"/>
      <c r="M186" s="117"/>
      <c r="N186" s="117">
        <v>29.44</v>
      </c>
      <c r="O186" s="117"/>
      <c r="P186" s="117">
        <v>1.76</v>
      </c>
      <c r="Q186" s="117">
        <v>0.23</v>
      </c>
      <c r="R186" s="221"/>
      <c r="S186" s="221"/>
    </row>
    <row r="187" spans="1:19" ht="15.75" customHeight="1" x14ac:dyDescent="0.25">
      <c r="A187" s="106"/>
      <c r="B187" s="422" t="s">
        <v>106</v>
      </c>
      <c r="C187" s="423"/>
      <c r="D187" s="424"/>
      <c r="E187" s="27">
        <f t="shared" ref="E187:M187" si="34">SUM(E153,E156,E167,E171,E181,E185)</f>
        <v>3574.0021999999999</v>
      </c>
      <c r="F187" s="22">
        <f t="shared" si="34"/>
        <v>142.71907999999999</v>
      </c>
      <c r="G187" s="22">
        <f t="shared" si="34"/>
        <v>115.6902</v>
      </c>
      <c r="H187" s="22">
        <f t="shared" si="34"/>
        <v>515.68766000000005</v>
      </c>
      <c r="I187" s="22">
        <f t="shared" si="34"/>
        <v>3734.2501999999999</v>
      </c>
      <c r="J187" s="22">
        <f t="shared" si="34"/>
        <v>0.188</v>
      </c>
      <c r="K187" s="22">
        <f t="shared" si="34"/>
        <v>116.16155999999999</v>
      </c>
      <c r="L187" s="22">
        <f t="shared" si="34"/>
        <v>4.8999999999999995</v>
      </c>
      <c r="M187" s="22">
        <f t="shared" si="34"/>
        <v>36.980000000000004</v>
      </c>
      <c r="N187" s="22">
        <f>SUM(N153,N156,N167,N171,N181,N185,N186)</f>
        <v>1453.23296</v>
      </c>
      <c r="O187" s="42">
        <f>SUM(O153,O156,O167,O171,O181,O185)</f>
        <v>307.81899999999996</v>
      </c>
      <c r="P187" s="22">
        <f>SUM(P153,P156,P167,P171,P181,P185)</f>
        <v>684.18027999999993</v>
      </c>
      <c r="Q187" s="22">
        <f>SUM(Q153,Q156,Q167,Q171,Q181,Q185)</f>
        <v>41.100819999999999</v>
      </c>
      <c r="R187" s="17"/>
      <c r="S187" s="17"/>
    </row>
    <row r="188" spans="1:19" ht="15.75" customHeight="1" x14ac:dyDescent="0.25">
      <c r="A188" s="4"/>
      <c r="B188" s="43"/>
      <c r="C188" s="43"/>
      <c r="D188" s="43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1"/>
      <c r="S188" s="1"/>
    </row>
    <row r="189" spans="1:19" ht="45.75" customHeight="1" x14ac:dyDescent="0.25">
      <c r="A189" s="523" t="s">
        <v>107</v>
      </c>
      <c r="B189" s="524"/>
      <c r="C189" s="524"/>
      <c r="D189" s="524"/>
      <c r="E189" s="524"/>
      <c r="F189" s="524"/>
      <c r="G189" s="524"/>
      <c r="H189" s="524"/>
      <c r="I189" s="524"/>
      <c r="J189" s="524"/>
      <c r="K189" s="524"/>
      <c r="L189" s="524"/>
      <c r="M189" s="524"/>
      <c r="N189" s="524"/>
      <c r="O189" s="524"/>
      <c r="P189" s="524"/>
      <c r="Q189" s="524"/>
      <c r="R189" s="525"/>
      <c r="S189" s="1"/>
    </row>
    <row r="190" spans="1:19" ht="15.75" customHeight="1" x14ac:dyDescent="0.25">
      <c r="A190" s="526" t="s">
        <v>3</v>
      </c>
      <c r="B190" s="528" t="s">
        <v>4</v>
      </c>
      <c r="C190" s="476"/>
      <c r="D190" s="477"/>
      <c r="E190" s="529" t="s">
        <v>5</v>
      </c>
      <c r="F190" s="530" t="s">
        <v>6</v>
      </c>
      <c r="G190" s="440"/>
      <c r="H190" s="441"/>
      <c r="I190" s="529" t="s">
        <v>7</v>
      </c>
      <c r="J190" s="530" t="s">
        <v>8</v>
      </c>
      <c r="K190" s="440"/>
      <c r="L190" s="440"/>
      <c r="M190" s="441"/>
      <c r="N190" s="530" t="s">
        <v>9</v>
      </c>
      <c r="O190" s="440"/>
      <c r="P190" s="440"/>
      <c r="Q190" s="441"/>
      <c r="R190" s="1"/>
      <c r="S190" s="1"/>
    </row>
    <row r="191" spans="1:19" ht="32.25" customHeight="1" x14ac:dyDescent="0.25">
      <c r="A191" s="527"/>
      <c r="B191" s="478"/>
      <c r="C191" s="479"/>
      <c r="D191" s="480"/>
      <c r="E191" s="527"/>
      <c r="F191" s="33" t="s">
        <v>10</v>
      </c>
      <c r="G191" s="33" t="s">
        <v>11</v>
      </c>
      <c r="H191" s="33" t="s">
        <v>12</v>
      </c>
      <c r="I191" s="527"/>
      <c r="J191" s="34" t="s">
        <v>13</v>
      </c>
      <c r="K191" s="34" t="s">
        <v>14</v>
      </c>
      <c r="L191" s="34" t="s">
        <v>15</v>
      </c>
      <c r="M191" s="35" t="s">
        <v>16</v>
      </c>
      <c r="N191" s="36" t="s">
        <v>17</v>
      </c>
      <c r="O191" s="34" t="s">
        <v>18</v>
      </c>
      <c r="P191" s="34" t="s">
        <v>19</v>
      </c>
      <c r="Q191" s="35" t="s">
        <v>20</v>
      </c>
      <c r="R191" s="1"/>
      <c r="S191" s="1"/>
    </row>
    <row r="192" spans="1:19" ht="15.75" customHeight="1" x14ac:dyDescent="0.25">
      <c r="A192" s="220">
        <v>1</v>
      </c>
      <c r="B192" s="532">
        <v>2</v>
      </c>
      <c r="C192" s="440"/>
      <c r="D192" s="441"/>
      <c r="E192" s="57">
        <v>3</v>
      </c>
      <c r="F192" s="57">
        <v>4</v>
      </c>
      <c r="G192" s="57">
        <v>5</v>
      </c>
      <c r="H192" s="57">
        <v>6</v>
      </c>
      <c r="I192" s="58">
        <v>7</v>
      </c>
      <c r="J192" s="57">
        <v>8</v>
      </c>
      <c r="K192" s="57">
        <v>9</v>
      </c>
      <c r="L192" s="57">
        <v>10</v>
      </c>
      <c r="M192" s="59">
        <v>11</v>
      </c>
      <c r="N192" s="57">
        <v>12</v>
      </c>
      <c r="O192" s="57">
        <v>13</v>
      </c>
      <c r="P192" s="57">
        <v>14</v>
      </c>
      <c r="Q192" s="60">
        <v>15</v>
      </c>
      <c r="R192" s="1"/>
      <c r="S192" s="1"/>
    </row>
    <row r="193" spans="1:19" ht="15.75" customHeight="1" x14ac:dyDescent="0.25">
      <c r="A193" s="201"/>
      <c r="B193" s="522" t="s">
        <v>21</v>
      </c>
      <c r="C193" s="446"/>
      <c r="D193" s="447"/>
      <c r="E193" s="106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"/>
      <c r="S193" s="1"/>
    </row>
    <row r="194" spans="1:19" ht="18" customHeight="1" x14ac:dyDescent="0.25">
      <c r="A194" s="106">
        <v>2</v>
      </c>
      <c r="B194" s="439" t="s">
        <v>108</v>
      </c>
      <c r="C194" s="440"/>
      <c r="D194" s="441"/>
      <c r="E194" s="147" t="s">
        <v>109</v>
      </c>
      <c r="F194" s="117">
        <v>8.3333333333333329E-2</v>
      </c>
      <c r="G194" s="117">
        <v>7.1499999999999995</v>
      </c>
      <c r="H194" s="117">
        <v>0.11666666666666668</v>
      </c>
      <c r="I194" s="117">
        <v>64.7</v>
      </c>
      <c r="J194" s="117">
        <v>0</v>
      </c>
      <c r="K194" s="117">
        <v>0</v>
      </c>
      <c r="L194" s="117">
        <v>0</v>
      </c>
      <c r="M194" s="117">
        <v>0</v>
      </c>
      <c r="N194" s="117">
        <v>2.4</v>
      </c>
      <c r="O194" s="117">
        <v>0</v>
      </c>
      <c r="P194" s="117">
        <v>0</v>
      </c>
      <c r="Q194" s="117">
        <v>0</v>
      </c>
      <c r="R194" s="17"/>
      <c r="S194" s="17"/>
    </row>
    <row r="195" spans="1:19" ht="31.5" customHeight="1" x14ac:dyDescent="0.25">
      <c r="A195" s="709">
        <v>174</v>
      </c>
      <c r="B195" s="711" t="s">
        <v>110</v>
      </c>
      <c r="C195" s="609"/>
      <c r="D195" s="610"/>
      <c r="E195" s="138">
        <v>250</v>
      </c>
      <c r="F195" s="708">
        <f>6.74*(E195+E196)/(250+10)</f>
        <v>6.74</v>
      </c>
      <c r="G195" s="708">
        <f>7.98*(E195+E196)/(250+10)</f>
        <v>7.98</v>
      </c>
      <c r="H195" s="708">
        <f>33.91*(E195+E196)/(250+10)</f>
        <v>33.909999999999997</v>
      </c>
      <c r="I195" s="708">
        <f>233.75*(E195+E196)/(250+10)</f>
        <v>233.75</v>
      </c>
      <c r="J195" s="572">
        <v>0</v>
      </c>
      <c r="K195" s="572">
        <v>0</v>
      </c>
      <c r="L195" s="572">
        <v>0</v>
      </c>
      <c r="M195" s="708">
        <v>0</v>
      </c>
      <c r="N195" s="708">
        <f>130.63*(E195+E196)/(250+10)</f>
        <v>130.63</v>
      </c>
      <c r="O195" s="708">
        <v>0</v>
      </c>
      <c r="P195" s="572">
        <f>70.25*(E195+E196)/(250+10)</f>
        <v>70.25</v>
      </c>
      <c r="Q195" s="708">
        <f>1.93*(E195+E196)/(250+10)</f>
        <v>1.93</v>
      </c>
      <c r="R195" s="18"/>
      <c r="S195" s="18"/>
    </row>
    <row r="196" spans="1:19" ht="15.75" customHeight="1" x14ac:dyDescent="0.25">
      <c r="A196" s="710"/>
      <c r="B196" s="712"/>
      <c r="C196" s="612"/>
      <c r="D196" s="613"/>
      <c r="E196" s="126">
        <f>E195*4/100</f>
        <v>10</v>
      </c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Q196" s="471"/>
      <c r="R196" s="62"/>
      <c r="S196" s="17"/>
    </row>
    <row r="197" spans="1:19" ht="15.75" customHeight="1" x14ac:dyDescent="0.25">
      <c r="A197" s="106">
        <v>378</v>
      </c>
      <c r="B197" s="540" t="s">
        <v>111</v>
      </c>
      <c r="C197" s="440"/>
      <c r="D197" s="441"/>
      <c r="E197" s="106">
        <v>200</v>
      </c>
      <c r="F197" s="117">
        <v>1.52</v>
      </c>
      <c r="G197" s="117">
        <v>1.35</v>
      </c>
      <c r="H197" s="117">
        <v>15.9</v>
      </c>
      <c r="I197" s="117">
        <v>81</v>
      </c>
      <c r="J197" s="117">
        <v>0</v>
      </c>
      <c r="K197" s="117">
        <v>1.33</v>
      </c>
      <c r="L197" s="117">
        <v>0</v>
      </c>
      <c r="M197" s="117">
        <v>0</v>
      </c>
      <c r="N197" s="117">
        <v>126.6</v>
      </c>
      <c r="O197" s="117">
        <v>0</v>
      </c>
      <c r="P197" s="117">
        <v>15.4</v>
      </c>
      <c r="Q197" s="117">
        <v>0.41</v>
      </c>
      <c r="R197" s="63"/>
      <c r="S197" s="29"/>
    </row>
    <row r="198" spans="1:19" ht="15.75" customHeight="1" x14ac:dyDescent="0.25">
      <c r="A198" s="106" t="s">
        <v>27</v>
      </c>
      <c r="B198" s="439" t="s">
        <v>28</v>
      </c>
      <c r="C198" s="440"/>
      <c r="D198" s="441"/>
      <c r="E198" s="99">
        <v>45</v>
      </c>
      <c r="F198" s="117">
        <f>4.03*E198/50</f>
        <v>3.6270000000000007</v>
      </c>
      <c r="G198" s="117">
        <f>0.5*E198/50</f>
        <v>0.45</v>
      </c>
      <c r="H198" s="117">
        <f>22.36*E198/50</f>
        <v>20.123999999999999</v>
      </c>
      <c r="I198" s="117">
        <f>98.86*E198/50</f>
        <v>88.97399999999999</v>
      </c>
      <c r="J198" s="117">
        <v>0</v>
      </c>
      <c r="K198" s="117">
        <v>0</v>
      </c>
      <c r="L198" s="117">
        <v>0</v>
      </c>
      <c r="M198" s="117">
        <v>0</v>
      </c>
      <c r="N198" s="117">
        <f>17.59*E198/50</f>
        <v>15.831</v>
      </c>
      <c r="O198" s="117">
        <v>0</v>
      </c>
      <c r="P198" s="117">
        <f>1.89*E198/50</f>
        <v>1.7009999999999998</v>
      </c>
      <c r="Q198" s="117">
        <f>0.88*E198/50</f>
        <v>0.79200000000000004</v>
      </c>
      <c r="R198" s="17"/>
      <c r="S198" s="17"/>
    </row>
    <row r="199" spans="1:19" ht="15.75" customHeight="1" x14ac:dyDescent="0.25">
      <c r="A199" s="106">
        <v>209</v>
      </c>
      <c r="B199" s="439" t="s">
        <v>25</v>
      </c>
      <c r="C199" s="440"/>
      <c r="D199" s="441"/>
      <c r="E199" s="106">
        <v>41</v>
      </c>
      <c r="F199" s="106">
        <v>5.72</v>
      </c>
      <c r="G199" s="106">
        <v>4.8499999999999996</v>
      </c>
      <c r="H199" s="106">
        <v>0.03</v>
      </c>
      <c r="I199" s="106">
        <v>66.650000000000006</v>
      </c>
      <c r="J199" s="106">
        <v>3.3000000000000002E-2</v>
      </c>
      <c r="K199" s="106" t="s">
        <v>35</v>
      </c>
      <c r="L199" s="106">
        <v>0.16800000000000001</v>
      </c>
      <c r="M199" s="106" t="s">
        <v>35</v>
      </c>
      <c r="N199" s="106">
        <v>26.4</v>
      </c>
      <c r="O199" s="106">
        <v>88.8</v>
      </c>
      <c r="P199" s="106">
        <v>25.42</v>
      </c>
      <c r="Q199" s="106">
        <v>1.29</v>
      </c>
      <c r="R199" s="17"/>
      <c r="S199" s="17"/>
    </row>
    <row r="200" spans="1:19" ht="22.5" customHeight="1" x14ac:dyDescent="0.25">
      <c r="A200" s="106"/>
      <c r="B200" s="442" t="s">
        <v>29</v>
      </c>
      <c r="C200" s="472"/>
      <c r="D200" s="473"/>
      <c r="E200" s="334">
        <v>635</v>
      </c>
      <c r="F200" s="117">
        <f t="shared" ref="F200:Q200" si="35">SUM(F194:F199)</f>
        <v>17.690333333333335</v>
      </c>
      <c r="G200" s="117">
        <f t="shared" si="35"/>
        <v>21.78</v>
      </c>
      <c r="H200" s="117">
        <f t="shared" si="35"/>
        <v>70.080666666666659</v>
      </c>
      <c r="I200" s="117">
        <f t="shared" si="35"/>
        <v>535.07399999999996</v>
      </c>
      <c r="J200" s="132">
        <f t="shared" si="35"/>
        <v>3.3000000000000002E-2</v>
      </c>
      <c r="K200" s="132">
        <f t="shared" si="35"/>
        <v>1.33</v>
      </c>
      <c r="L200" s="117">
        <f t="shared" si="35"/>
        <v>0.16800000000000001</v>
      </c>
      <c r="M200" s="117">
        <f t="shared" si="35"/>
        <v>0</v>
      </c>
      <c r="N200" s="117">
        <f t="shared" si="35"/>
        <v>301.86099999999999</v>
      </c>
      <c r="O200" s="117">
        <f t="shared" si="35"/>
        <v>88.8</v>
      </c>
      <c r="P200" s="117">
        <f t="shared" si="35"/>
        <v>112.771</v>
      </c>
      <c r="Q200" s="117">
        <f t="shared" si="35"/>
        <v>4.4219999999999997</v>
      </c>
      <c r="R200" s="29"/>
      <c r="S200" s="29"/>
    </row>
    <row r="201" spans="1:19" ht="15.75" customHeight="1" x14ac:dyDescent="0.25">
      <c r="A201" s="201"/>
      <c r="B201" s="522" t="s">
        <v>30</v>
      </c>
      <c r="C201" s="446"/>
      <c r="D201" s="447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"/>
      <c r="S201" s="1"/>
    </row>
    <row r="202" spans="1:19" ht="28.5" customHeight="1" x14ac:dyDescent="0.25">
      <c r="A202" s="106">
        <v>338</v>
      </c>
      <c r="B202" s="439" t="s">
        <v>31</v>
      </c>
      <c r="C202" s="440"/>
      <c r="D202" s="441"/>
      <c r="E202" s="133">
        <v>300</v>
      </c>
      <c r="F202" s="133">
        <v>1.2</v>
      </c>
      <c r="G202" s="134">
        <v>1.2</v>
      </c>
      <c r="H202" s="133">
        <v>29.4</v>
      </c>
      <c r="I202" s="133">
        <v>132</v>
      </c>
      <c r="J202" s="133">
        <v>0</v>
      </c>
      <c r="K202" s="133">
        <v>30</v>
      </c>
      <c r="L202" s="133">
        <v>0</v>
      </c>
      <c r="M202" s="133">
        <v>0</v>
      </c>
      <c r="N202" s="133">
        <v>48</v>
      </c>
      <c r="O202" s="133">
        <v>0</v>
      </c>
      <c r="P202" s="133">
        <v>27</v>
      </c>
      <c r="Q202" s="133">
        <v>6.6</v>
      </c>
      <c r="R202" s="39"/>
      <c r="S202" s="39"/>
    </row>
    <row r="203" spans="1:19" ht="15.75" customHeight="1" x14ac:dyDescent="0.25">
      <c r="A203" s="106"/>
      <c r="B203" s="442" t="s">
        <v>112</v>
      </c>
      <c r="C203" s="472"/>
      <c r="D203" s="473"/>
      <c r="E203" s="106">
        <f>E202</f>
        <v>300</v>
      </c>
      <c r="F203" s="106">
        <f t="shared" ref="F203:Q203" si="36">SUM(F202)</f>
        <v>1.2</v>
      </c>
      <c r="G203" s="132">
        <f t="shared" si="36"/>
        <v>1.2</v>
      </c>
      <c r="H203" s="106">
        <f t="shared" si="36"/>
        <v>29.4</v>
      </c>
      <c r="I203" s="106">
        <f t="shared" si="36"/>
        <v>132</v>
      </c>
      <c r="J203" s="106">
        <f t="shared" si="36"/>
        <v>0</v>
      </c>
      <c r="K203" s="106">
        <f t="shared" si="36"/>
        <v>30</v>
      </c>
      <c r="L203" s="106">
        <f t="shared" si="36"/>
        <v>0</v>
      </c>
      <c r="M203" s="106">
        <f t="shared" si="36"/>
        <v>0</v>
      </c>
      <c r="N203" s="106">
        <f t="shared" si="36"/>
        <v>48</v>
      </c>
      <c r="O203" s="106">
        <f t="shared" si="36"/>
        <v>0</v>
      </c>
      <c r="P203" s="106">
        <f t="shared" si="36"/>
        <v>27</v>
      </c>
      <c r="Q203" s="106">
        <f t="shared" si="36"/>
        <v>6.6</v>
      </c>
      <c r="R203" s="17"/>
      <c r="S203" s="17"/>
    </row>
    <row r="204" spans="1:19" ht="15.75" customHeight="1" x14ac:dyDescent="0.25">
      <c r="A204" s="201"/>
      <c r="B204" s="714" t="s">
        <v>33</v>
      </c>
      <c r="C204" s="715"/>
      <c r="D204" s="71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"/>
      <c r="S204" s="1"/>
    </row>
    <row r="205" spans="1:19" ht="15.75" customHeight="1" x14ac:dyDescent="0.25">
      <c r="A205" s="115">
        <v>71</v>
      </c>
      <c r="B205" s="448" t="s">
        <v>113</v>
      </c>
      <c r="C205" s="440"/>
      <c r="D205" s="441"/>
      <c r="E205" s="95">
        <v>100</v>
      </c>
      <c r="F205" s="129">
        <f>0.8*E205/100</f>
        <v>0.8</v>
      </c>
      <c r="G205" s="129">
        <f>0*E205/100</f>
        <v>0</v>
      </c>
      <c r="H205" s="129">
        <f>3.4*E205/100</f>
        <v>3.4</v>
      </c>
      <c r="I205" s="129">
        <f>16.8*E205/100</f>
        <v>16.8</v>
      </c>
      <c r="J205" s="129" t="s">
        <v>35</v>
      </c>
      <c r="K205" s="129">
        <f>10*E205/100</f>
        <v>10</v>
      </c>
      <c r="L205" s="129">
        <f>0*E205/100</f>
        <v>0</v>
      </c>
      <c r="M205" s="129">
        <f>0*E205/100</f>
        <v>0</v>
      </c>
      <c r="N205" s="129">
        <f>23*E205/100</f>
        <v>23</v>
      </c>
      <c r="O205" s="129">
        <f>0*E205/100</f>
        <v>0</v>
      </c>
      <c r="P205" s="129">
        <f>13*E205/100</f>
        <v>13</v>
      </c>
      <c r="Q205" s="129">
        <f>0.6*E205/100</f>
        <v>0.6</v>
      </c>
      <c r="R205" s="56"/>
      <c r="S205" s="29"/>
    </row>
    <row r="206" spans="1:19" ht="15.75" customHeight="1" x14ac:dyDescent="0.25">
      <c r="A206" s="115">
        <v>101</v>
      </c>
      <c r="B206" s="439" t="s">
        <v>114</v>
      </c>
      <c r="C206" s="440"/>
      <c r="D206" s="441"/>
      <c r="E206" s="115">
        <v>250</v>
      </c>
      <c r="F206" s="115">
        <f>2.2*E206/250</f>
        <v>2.2000000000000002</v>
      </c>
      <c r="G206" s="115">
        <f>2.83*E206/250</f>
        <v>2.83</v>
      </c>
      <c r="H206" s="115">
        <f>20.93*E206/250</f>
        <v>20.93</v>
      </c>
      <c r="I206" s="115">
        <f>116.29*E206/250</f>
        <v>116.29</v>
      </c>
      <c r="J206" s="115"/>
      <c r="K206" s="115">
        <f>8.25*E206/250</f>
        <v>8.25</v>
      </c>
      <c r="L206" s="115">
        <v>0</v>
      </c>
      <c r="M206" s="115">
        <v>0</v>
      </c>
      <c r="N206" s="115">
        <f>23.05*E206/250</f>
        <v>23.05</v>
      </c>
      <c r="O206" s="115">
        <v>0</v>
      </c>
      <c r="P206" s="115">
        <f>25*E206/250</f>
        <v>25</v>
      </c>
      <c r="Q206" s="115">
        <f>0.88*E206/250</f>
        <v>0.88</v>
      </c>
      <c r="R206" s="17"/>
      <c r="S206" s="17"/>
    </row>
    <row r="207" spans="1:19" ht="15.75" customHeight="1" x14ac:dyDescent="0.25">
      <c r="A207" s="470" t="s">
        <v>68</v>
      </c>
      <c r="B207" s="539" t="s">
        <v>69</v>
      </c>
      <c r="C207" s="476"/>
      <c r="D207" s="477"/>
      <c r="E207" s="122">
        <v>120</v>
      </c>
      <c r="F207" s="470">
        <f>23.56*(E207+E208)/(100+100)</f>
        <v>28.271999999999998</v>
      </c>
      <c r="G207" s="470">
        <f>20.24*(E207+E208)/(100+100)</f>
        <v>24.287999999999997</v>
      </c>
      <c r="H207" s="470">
        <f>5.86*(E207+E208)/(100+100)</f>
        <v>7.032</v>
      </c>
      <c r="I207" s="470">
        <f>300*(E207+E208)/(100+100)</f>
        <v>360</v>
      </c>
      <c r="J207" s="470">
        <v>0</v>
      </c>
      <c r="K207" s="470">
        <f>2.88*(E207+E208)/(100+100)</f>
        <v>3.4559999999999995</v>
      </c>
      <c r="L207" s="470">
        <v>0</v>
      </c>
      <c r="M207" s="470">
        <v>0</v>
      </c>
      <c r="N207" s="470">
        <f>77.8*(E207+E208)/(100+100)</f>
        <v>93.36</v>
      </c>
      <c r="O207" s="470">
        <v>0</v>
      </c>
      <c r="P207" s="470">
        <f>26.28*(E207+E208)/(100+100)</f>
        <v>31.536000000000005</v>
      </c>
      <c r="Q207" s="470">
        <f>1.82*(E207+E208)/(100+100)</f>
        <v>2.1840000000000002</v>
      </c>
      <c r="R207" s="17"/>
      <c r="S207" s="17"/>
    </row>
    <row r="208" spans="1:19" ht="15.75" customHeight="1" x14ac:dyDescent="0.25">
      <c r="A208" s="471"/>
      <c r="B208" s="478"/>
      <c r="C208" s="479"/>
      <c r="D208" s="480"/>
      <c r="E208" s="122">
        <f>E207</f>
        <v>120</v>
      </c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Q208" s="471"/>
      <c r="R208" s="19"/>
      <c r="S208" s="19"/>
    </row>
    <row r="209" spans="1:19" ht="15.75" customHeight="1" x14ac:dyDescent="0.25">
      <c r="A209" s="470">
        <v>171</v>
      </c>
      <c r="B209" s="552" t="s">
        <v>115</v>
      </c>
      <c r="C209" s="476"/>
      <c r="D209" s="477"/>
      <c r="E209" s="162">
        <v>220</v>
      </c>
      <c r="F209" s="537">
        <f>11.05*(E209+E210)/(190+10)</f>
        <v>12.7955685</v>
      </c>
      <c r="G209" s="537">
        <f>11.93*(E209+E210)/(190+10)</f>
        <v>13.814582100000001</v>
      </c>
      <c r="H209" s="537">
        <f>46.07*(E209+E210)/(190+10)</f>
        <v>53.347677900000001</v>
      </c>
      <c r="I209" s="537">
        <f>350*(E209+E210)/(190+10)</f>
        <v>405.28949999999998</v>
      </c>
      <c r="J209" s="537">
        <v>0</v>
      </c>
      <c r="K209" s="537">
        <v>0</v>
      </c>
      <c r="L209" s="537">
        <v>0</v>
      </c>
      <c r="M209" s="537">
        <v>0</v>
      </c>
      <c r="N209" s="537">
        <f>32.97*(E209+E210)/(190+10)</f>
        <v>38.178270900000001</v>
      </c>
      <c r="O209" s="537">
        <v>0</v>
      </c>
      <c r="P209" s="537">
        <f>175.64*(E209+E210)/(190+10)</f>
        <v>203.38585079999996</v>
      </c>
      <c r="Q209" s="537">
        <f>5.9*(E209+E210)/(190+10)</f>
        <v>6.8320230000000004</v>
      </c>
      <c r="R209" s="19"/>
      <c r="S209" s="19"/>
    </row>
    <row r="210" spans="1:19" ht="15.75" customHeight="1" x14ac:dyDescent="0.25">
      <c r="A210" s="471"/>
      <c r="B210" s="478"/>
      <c r="C210" s="479"/>
      <c r="D210" s="480"/>
      <c r="E210" s="100">
        <f>E209*5.27/100</f>
        <v>11.593999999999999</v>
      </c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Q210" s="471"/>
      <c r="R210" s="17"/>
      <c r="S210" s="17"/>
    </row>
    <row r="211" spans="1:19" ht="15.75" customHeight="1" x14ac:dyDescent="0.25">
      <c r="A211" s="106">
        <v>389</v>
      </c>
      <c r="B211" s="540" t="s">
        <v>92</v>
      </c>
      <c r="C211" s="440"/>
      <c r="D211" s="441"/>
      <c r="E211" s="100">
        <v>200</v>
      </c>
      <c r="F211" s="117">
        <v>1</v>
      </c>
      <c r="G211" s="117">
        <v>0</v>
      </c>
      <c r="H211" s="117">
        <v>20.2</v>
      </c>
      <c r="I211" s="117">
        <v>84.8</v>
      </c>
      <c r="J211" s="117">
        <v>0</v>
      </c>
      <c r="K211" s="117">
        <v>4</v>
      </c>
      <c r="L211" s="117">
        <v>0</v>
      </c>
      <c r="M211" s="117">
        <v>0</v>
      </c>
      <c r="N211" s="117">
        <v>14</v>
      </c>
      <c r="O211" s="117">
        <v>0</v>
      </c>
      <c r="P211" s="117">
        <v>8</v>
      </c>
      <c r="Q211" s="117">
        <v>2.8</v>
      </c>
      <c r="R211" s="29"/>
      <c r="S211" s="29"/>
    </row>
    <row r="212" spans="1:19" ht="15.75" customHeight="1" x14ac:dyDescent="0.25">
      <c r="A212" s="106" t="s">
        <v>27</v>
      </c>
      <c r="B212" s="41" t="s">
        <v>39</v>
      </c>
      <c r="C212" s="41"/>
      <c r="D212" s="41"/>
      <c r="E212" s="99">
        <v>120</v>
      </c>
      <c r="F212" s="117">
        <f>4.03*E212/50</f>
        <v>9.6720000000000006</v>
      </c>
      <c r="G212" s="117">
        <f>0.5*E212/50</f>
        <v>1.2</v>
      </c>
      <c r="H212" s="117">
        <f>22.36*E212/50</f>
        <v>53.663999999999994</v>
      </c>
      <c r="I212" s="117">
        <f>98.86*E212/50</f>
        <v>237.26400000000001</v>
      </c>
      <c r="J212" s="117">
        <v>0</v>
      </c>
      <c r="K212" s="117">
        <v>0</v>
      </c>
      <c r="L212" s="117">
        <v>0</v>
      </c>
      <c r="M212" s="117">
        <v>0</v>
      </c>
      <c r="N212" s="117">
        <f>17.59*E212/50</f>
        <v>42.216000000000001</v>
      </c>
      <c r="O212" s="117">
        <v>0</v>
      </c>
      <c r="P212" s="117">
        <f>1.89*E212/50</f>
        <v>4.5359999999999996</v>
      </c>
      <c r="Q212" s="117">
        <f>0.88*E212/50</f>
        <v>2.1120000000000001</v>
      </c>
      <c r="R212" s="17"/>
      <c r="S212" s="17"/>
    </row>
    <row r="213" spans="1:19" ht="15.75" customHeight="1" x14ac:dyDescent="0.25">
      <c r="A213" s="106" t="s">
        <v>27</v>
      </c>
      <c r="B213" s="439" t="s">
        <v>28</v>
      </c>
      <c r="C213" s="440"/>
      <c r="D213" s="441"/>
      <c r="E213" s="99">
        <v>45</v>
      </c>
      <c r="F213" s="117">
        <f>2.26*E213/30</f>
        <v>3.3899999999999997</v>
      </c>
      <c r="G213" s="117">
        <f>0.23*E213/30</f>
        <v>0.34499999999999997</v>
      </c>
      <c r="H213" s="117">
        <f>14.66*E213/30</f>
        <v>21.990000000000002</v>
      </c>
      <c r="I213" s="117">
        <f>68.86*E213/30</f>
        <v>103.28999999999999</v>
      </c>
      <c r="J213" s="117">
        <v>0</v>
      </c>
      <c r="K213" s="117">
        <v>0</v>
      </c>
      <c r="L213" s="117">
        <v>0</v>
      </c>
      <c r="M213" s="117">
        <v>0</v>
      </c>
      <c r="N213" s="117">
        <f>12.97*E213/30</f>
        <v>19.454999999999998</v>
      </c>
      <c r="O213" s="117">
        <v>0</v>
      </c>
      <c r="P213" s="117">
        <f>2.83*E213/30</f>
        <v>4.2450000000000001</v>
      </c>
      <c r="Q213" s="117">
        <f>0.74*E213/30</f>
        <v>1.1099999999999999</v>
      </c>
      <c r="R213" s="17"/>
      <c r="S213" s="17"/>
    </row>
    <row r="214" spans="1:19" ht="15.75" customHeight="1" x14ac:dyDescent="0.25">
      <c r="A214" s="106"/>
      <c r="B214" s="422" t="s">
        <v>65</v>
      </c>
      <c r="C214" s="423"/>
      <c r="D214" s="424"/>
      <c r="E214" s="100">
        <f t="shared" ref="E214:Q214" si="37">SUM(E205:E213)</f>
        <v>1186.5940000000001</v>
      </c>
      <c r="F214" s="117">
        <f t="shared" si="37"/>
        <v>58.129568500000005</v>
      </c>
      <c r="G214" s="117">
        <f t="shared" si="37"/>
        <v>42.477582099999999</v>
      </c>
      <c r="H214" s="117">
        <f t="shared" si="37"/>
        <v>180.56367790000002</v>
      </c>
      <c r="I214" s="117">
        <f t="shared" si="37"/>
        <v>1323.7334999999998</v>
      </c>
      <c r="J214" s="117">
        <f t="shared" si="37"/>
        <v>0</v>
      </c>
      <c r="K214" s="117">
        <f t="shared" si="37"/>
        <v>25.706</v>
      </c>
      <c r="L214" s="117">
        <f t="shared" si="37"/>
        <v>0</v>
      </c>
      <c r="M214" s="117">
        <f t="shared" si="37"/>
        <v>0</v>
      </c>
      <c r="N214" s="117">
        <f t="shared" si="37"/>
        <v>253.25927089999999</v>
      </c>
      <c r="O214" s="117">
        <f t="shared" si="37"/>
        <v>0</v>
      </c>
      <c r="P214" s="117">
        <f t="shared" si="37"/>
        <v>289.70285079999996</v>
      </c>
      <c r="Q214" s="117">
        <f t="shared" si="37"/>
        <v>16.518023000000003</v>
      </c>
      <c r="R214" s="17"/>
      <c r="S214" s="17"/>
    </row>
    <row r="215" spans="1:19" ht="15.75" customHeight="1" x14ac:dyDescent="0.25">
      <c r="A215" s="201"/>
      <c r="B215" s="445" t="s">
        <v>41</v>
      </c>
      <c r="C215" s="446"/>
      <c r="D215" s="447"/>
      <c r="E215" s="106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"/>
      <c r="S215" s="1"/>
    </row>
    <row r="216" spans="1:19" ht="15.75" customHeight="1" x14ac:dyDescent="0.25">
      <c r="A216" s="115">
        <v>415</v>
      </c>
      <c r="B216" s="482" t="s">
        <v>66</v>
      </c>
      <c r="C216" s="440"/>
      <c r="D216" s="441"/>
      <c r="E216" s="95">
        <v>150</v>
      </c>
      <c r="F216" s="129">
        <v>3.67</v>
      </c>
      <c r="G216" s="129">
        <v>11.2</v>
      </c>
      <c r="H216" s="129">
        <v>31.4</v>
      </c>
      <c r="I216" s="129">
        <v>241.08</v>
      </c>
      <c r="J216" s="129">
        <v>0</v>
      </c>
      <c r="K216" s="129">
        <v>0</v>
      </c>
      <c r="L216" s="129">
        <v>0</v>
      </c>
      <c r="M216" s="129">
        <v>0</v>
      </c>
      <c r="N216" s="129">
        <v>19.399999999999999</v>
      </c>
      <c r="O216" s="129">
        <v>0</v>
      </c>
      <c r="P216" s="129">
        <v>24.4</v>
      </c>
      <c r="Q216" s="129">
        <v>1.28</v>
      </c>
      <c r="R216" s="29"/>
      <c r="S216" s="29"/>
    </row>
    <row r="217" spans="1:19" ht="15.75" customHeight="1" x14ac:dyDescent="0.25">
      <c r="A217" s="115">
        <v>933</v>
      </c>
      <c r="B217" s="555" t="s">
        <v>116</v>
      </c>
      <c r="C217" s="440"/>
      <c r="D217" s="441"/>
      <c r="E217" s="130">
        <v>200</v>
      </c>
      <c r="F217" s="131">
        <v>0.45</v>
      </c>
      <c r="G217" s="131">
        <v>0</v>
      </c>
      <c r="H217" s="131">
        <v>23.84</v>
      </c>
      <c r="I217" s="131">
        <v>97.16</v>
      </c>
      <c r="J217" s="131">
        <v>3.0000000000000001E-3</v>
      </c>
      <c r="K217" s="131">
        <v>0.3</v>
      </c>
      <c r="L217" s="131">
        <v>0</v>
      </c>
      <c r="M217" s="131">
        <v>0</v>
      </c>
      <c r="N217" s="131">
        <v>16.95</v>
      </c>
      <c r="O217" s="131">
        <v>11.55</v>
      </c>
      <c r="P217" s="131">
        <v>9</v>
      </c>
      <c r="Q217" s="131">
        <v>2.7</v>
      </c>
      <c r="R217" s="29"/>
      <c r="S217" s="29"/>
    </row>
    <row r="218" spans="1:19" ht="15.75" customHeight="1" x14ac:dyDescent="0.25">
      <c r="A218" s="106"/>
      <c r="B218" s="442" t="s">
        <v>86</v>
      </c>
      <c r="C218" s="472"/>
      <c r="D218" s="473"/>
      <c r="E218" s="106">
        <f>100+E217</f>
        <v>300</v>
      </c>
      <c r="F218" s="117">
        <f t="shared" ref="F218:Q218" si="38">SUM(F216:F217)</f>
        <v>4.12</v>
      </c>
      <c r="G218" s="117">
        <f t="shared" si="38"/>
        <v>11.2</v>
      </c>
      <c r="H218" s="117">
        <f t="shared" si="38"/>
        <v>55.239999999999995</v>
      </c>
      <c r="I218" s="117">
        <f t="shared" si="38"/>
        <v>338.24</v>
      </c>
      <c r="J218" s="117">
        <f t="shared" si="38"/>
        <v>3.0000000000000001E-3</v>
      </c>
      <c r="K218" s="117">
        <f t="shared" si="38"/>
        <v>0.3</v>
      </c>
      <c r="L218" s="117">
        <f t="shared" si="38"/>
        <v>0</v>
      </c>
      <c r="M218" s="117">
        <f t="shared" si="38"/>
        <v>0</v>
      </c>
      <c r="N218" s="117">
        <f t="shared" si="38"/>
        <v>36.349999999999994</v>
      </c>
      <c r="O218" s="117">
        <f t="shared" si="38"/>
        <v>11.55</v>
      </c>
      <c r="P218" s="117">
        <f t="shared" si="38"/>
        <v>33.4</v>
      </c>
      <c r="Q218" s="117">
        <f t="shared" si="38"/>
        <v>3.9800000000000004</v>
      </c>
      <c r="R218" s="17"/>
      <c r="S218" s="17"/>
    </row>
    <row r="219" spans="1:19" ht="15.75" customHeight="1" x14ac:dyDescent="0.25">
      <c r="A219" s="201"/>
      <c r="B219" s="474" t="s">
        <v>44</v>
      </c>
      <c r="C219" s="446"/>
      <c r="D219" s="447"/>
      <c r="E219" s="106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"/>
      <c r="S219" s="1"/>
    </row>
    <row r="220" spans="1:19" ht="15.75" customHeight="1" x14ac:dyDescent="0.25">
      <c r="A220" s="106">
        <v>71</v>
      </c>
      <c r="B220" s="439" t="s">
        <v>117</v>
      </c>
      <c r="C220" s="440"/>
      <c r="D220" s="441"/>
      <c r="E220" s="100">
        <v>100</v>
      </c>
      <c r="F220" s="117">
        <v>0.8</v>
      </c>
      <c r="G220" s="117">
        <v>0</v>
      </c>
      <c r="H220" s="117">
        <v>3.4</v>
      </c>
      <c r="I220" s="117">
        <v>16.8</v>
      </c>
      <c r="J220" s="117" t="s">
        <v>35</v>
      </c>
      <c r="K220" s="117">
        <v>10</v>
      </c>
      <c r="L220" s="117">
        <v>0</v>
      </c>
      <c r="M220" s="117">
        <v>0</v>
      </c>
      <c r="N220" s="117">
        <v>23</v>
      </c>
      <c r="O220" s="117">
        <v>0</v>
      </c>
      <c r="P220" s="117">
        <v>13</v>
      </c>
      <c r="Q220" s="117">
        <v>0.6</v>
      </c>
      <c r="R220" s="29"/>
      <c r="S220" s="29"/>
    </row>
    <row r="221" spans="1:19" ht="15.75" customHeight="1" x14ac:dyDescent="0.25">
      <c r="A221" s="470">
        <v>295</v>
      </c>
      <c r="B221" s="475" t="s">
        <v>118</v>
      </c>
      <c r="C221" s="476"/>
      <c r="D221" s="477"/>
      <c r="E221" s="122">
        <v>120</v>
      </c>
      <c r="F221" s="470">
        <f>15.3*(E221+E222)/(100+10)</f>
        <v>18.360000000000003</v>
      </c>
      <c r="G221" s="470">
        <f>29.4*(E221+E222)/(100+10)</f>
        <v>35.279999999999994</v>
      </c>
      <c r="H221" s="470">
        <f>15.46*(E221+E222)/(100+10)</f>
        <v>18.552</v>
      </c>
      <c r="I221" s="470">
        <f>388*(E221+E222)/(100+10)</f>
        <v>465.6</v>
      </c>
      <c r="J221" s="470">
        <v>0</v>
      </c>
      <c r="K221" s="470">
        <f>1.04*(E221+E222)/(100+10)</f>
        <v>1.248</v>
      </c>
      <c r="L221" s="470">
        <v>0</v>
      </c>
      <c r="M221" s="470">
        <v>0</v>
      </c>
      <c r="N221" s="470">
        <f>55.54*(E221+E222)/(100+10)</f>
        <v>66.647999999999996</v>
      </c>
      <c r="O221" s="470">
        <v>0</v>
      </c>
      <c r="P221" s="470">
        <f>20.8*(E221+E222)/(100+10)</f>
        <v>24.96</v>
      </c>
      <c r="Q221" s="470">
        <f>1.42*(E221+E222)/(100+10)</f>
        <v>1.704</v>
      </c>
      <c r="R221" s="17"/>
      <c r="S221" s="17"/>
    </row>
    <row r="222" spans="1:19" ht="15.75" customHeight="1" x14ac:dyDescent="0.25">
      <c r="A222" s="471"/>
      <c r="B222" s="478"/>
      <c r="C222" s="479"/>
      <c r="D222" s="480"/>
      <c r="E222" s="200">
        <f>E221*10/100</f>
        <v>12</v>
      </c>
      <c r="F222" s="471"/>
      <c r="G222" s="471"/>
      <c r="H222" s="471"/>
      <c r="I222" s="471"/>
      <c r="J222" s="471"/>
      <c r="K222" s="471"/>
      <c r="L222" s="471"/>
      <c r="M222" s="471"/>
      <c r="N222" s="471"/>
      <c r="O222" s="471"/>
      <c r="P222" s="471"/>
      <c r="Q222" s="471"/>
      <c r="R222" s="17"/>
      <c r="S222" s="17"/>
    </row>
    <row r="223" spans="1:19" ht="15.75" customHeight="1" x14ac:dyDescent="0.25">
      <c r="A223" s="560">
        <v>171</v>
      </c>
      <c r="B223" s="539" t="s">
        <v>119</v>
      </c>
      <c r="C223" s="476"/>
      <c r="D223" s="477"/>
      <c r="E223" s="200">
        <v>200</v>
      </c>
      <c r="F223" s="481">
        <f>11.05*(E223+E224)/(190+10)</f>
        <v>11.63123</v>
      </c>
      <c r="G223" s="481">
        <f>11.93*(E223+E224)/(190+10)</f>
        <v>12.557518</v>
      </c>
      <c r="H223" s="481">
        <f>46.07*(E223+E224)/(190+10)</f>
        <v>48.493282000000001</v>
      </c>
      <c r="I223" s="481">
        <f>350*(E223+E224)/(190+10)</f>
        <v>368.41</v>
      </c>
      <c r="J223" s="481">
        <v>0</v>
      </c>
      <c r="K223" s="481">
        <v>0</v>
      </c>
      <c r="L223" s="481">
        <v>0</v>
      </c>
      <c r="M223" s="481">
        <v>0</v>
      </c>
      <c r="N223" s="481">
        <f>32.97*(E223+E224)/(190+10)</f>
        <v>34.704222000000001</v>
      </c>
      <c r="O223" s="481">
        <v>0</v>
      </c>
      <c r="P223" s="481">
        <f>175.64*(E223+E224)/(190+10)</f>
        <v>184.87866399999999</v>
      </c>
      <c r="Q223" s="481">
        <f>5.9*(E223+E224)/(190+10)</f>
        <v>6.2103400000000013</v>
      </c>
      <c r="R223" s="29"/>
      <c r="S223" s="29"/>
    </row>
    <row r="224" spans="1:19" ht="15.75" customHeight="1" x14ac:dyDescent="0.25">
      <c r="A224" s="471"/>
      <c r="B224" s="478"/>
      <c r="C224" s="479"/>
      <c r="D224" s="480"/>
      <c r="E224" s="100">
        <f>E223*5.26/100</f>
        <v>10.52</v>
      </c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Q224" s="471"/>
      <c r="R224" s="29"/>
      <c r="S224" s="29"/>
    </row>
    <row r="225" spans="1:19" ht="15.75" customHeight="1" x14ac:dyDescent="0.25">
      <c r="A225" s="106">
        <v>389</v>
      </c>
      <c r="B225" s="540" t="s">
        <v>71</v>
      </c>
      <c r="C225" s="440"/>
      <c r="D225" s="441"/>
      <c r="E225" s="100">
        <v>200</v>
      </c>
      <c r="F225" s="117">
        <v>0.94</v>
      </c>
      <c r="G225" s="117" t="s">
        <v>35</v>
      </c>
      <c r="H225" s="117">
        <v>21.29</v>
      </c>
      <c r="I225" s="117">
        <v>88.92</v>
      </c>
      <c r="J225" s="117">
        <v>0.02</v>
      </c>
      <c r="K225" s="117">
        <v>4</v>
      </c>
      <c r="L225" s="117" t="s">
        <v>35</v>
      </c>
      <c r="M225" s="117" t="s">
        <v>35</v>
      </c>
      <c r="N225" s="117">
        <v>16</v>
      </c>
      <c r="O225" s="117">
        <v>18</v>
      </c>
      <c r="P225" s="117">
        <v>10</v>
      </c>
      <c r="Q225" s="117">
        <v>0.4</v>
      </c>
      <c r="R225" s="29"/>
      <c r="S225" s="29"/>
    </row>
    <row r="226" spans="1:19" ht="15.75" customHeight="1" x14ac:dyDescent="0.25">
      <c r="A226" s="106" t="s">
        <v>27</v>
      </c>
      <c r="B226" s="41" t="s">
        <v>39</v>
      </c>
      <c r="C226" s="41"/>
      <c r="D226" s="41"/>
      <c r="E226" s="99">
        <v>75</v>
      </c>
      <c r="F226" s="117">
        <f>4.03*E226/50</f>
        <v>6.0449999999999999</v>
      </c>
      <c r="G226" s="117">
        <f>0.5*E226/50</f>
        <v>0.75</v>
      </c>
      <c r="H226" s="117">
        <f>22.36*E226/50</f>
        <v>33.54</v>
      </c>
      <c r="I226" s="117">
        <f>98.86*E226/50</f>
        <v>148.29</v>
      </c>
      <c r="J226" s="117">
        <v>0</v>
      </c>
      <c r="K226" s="117">
        <v>0</v>
      </c>
      <c r="L226" s="117">
        <v>0</v>
      </c>
      <c r="M226" s="117">
        <v>0</v>
      </c>
      <c r="N226" s="117">
        <f>17.59*E226/50</f>
        <v>26.385000000000002</v>
      </c>
      <c r="O226" s="117">
        <v>0</v>
      </c>
      <c r="P226" s="117">
        <f>1.89*E226/50</f>
        <v>2.835</v>
      </c>
      <c r="Q226" s="117">
        <f>0.88*E226/50</f>
        <v>1.32</v>
      </c>
      <c r="R226" s="17"/>
      <c r="S226" s="17"/>
    </row>
    <row r="227" spans="1:19" ht="15.75" customHeight="1" x14ac:dyDescent="0.25">
      <c r="A227" s="106" t="s">
        <v>27</v>
      </c>
      <c r="B227" s="439" t="s">
        <v>28</v>
      </c>
      <c r="C227" s="440"/>
      <c r="D227" s="441"/>
      <c r="E227" s="99">
        <v>45</v>
      </c>
      <c r="F227" s="117">
        <v>3.0133333333333332</v>
      </c>
      <c r="G227" s="117">
        <v>0.3066666666666667</v>
      </c>
      <c r="H227" s="117">
        <v>19.546666666666667</v>
      </c>
      <c r="I227" s="117">
        <v>91.813333333333333</v>
      </c>
      <c r="J227" s="117">
        <v>0</v>
      </c>
      <c r="K227" s="117">
        <v>0</v>
      </c>
      <c r="L227" s="117">
        <v>0</v>
      </c>
      <c r="M227" s="117">
        <v>0</v>
      </c>
      <c r="N227" s="117">
        <v>17.293333333333337</v>
      </c>
      <c r="O227" s="117">
        <v>0</v>
      </c>
      <c r="P227" s="117">
        <v>3.7733333333333334</v>
      </c>
      <c r="Q227" s="117">
        <v>0.98666666666666669</v>
      </c>
      <c r="R227" s="17"/>
      <c r="S227" s="17"/>
    </row>
    <row r="228" spans="1:19" ht="15.75" customHeight="1" x14ac:dyDescent="0.25">
      <c r="A228" s="106"/>
      <c r="B228" s="442" t="s">
        <v>72</v>
      </c>
      <c r="C228" s="472"/>
      <c r="D228" s="473"/>
      <c r="E228" s="99">
        <f t="shared" ref="E228:Q228" si="39">SUM(E220:E227)</f>
        <v>762.52</v>
      </c>
      <c r="F228" s="117">
        <f t="shared" si="39"/>
        <v>40.789563333333341</v>
      </c>
      <c r="G228" s="117">
        <f t="shared" si="39"/>
        <v>48.894184666666661</v>
      </c>
      <c r="H228" s="117">
        <f t="shared" si="39"/>
        <v>144.82194866666663</v>
      </c>
      <c r="I228" s="117">
        <f t="shared" si="39"/>
        <v>1179.8333333333333</v>
      </c>
      <c r="J228" s="117">
        <f t="shared" si="39"/>
        <v>0.02</v>
      </c>
      <c r="K228" s="117">
        <f t="shared" si="39"/>
        <v>15.247999999999999</v>
      </c>
      <c r="L228" s="117">
        <f t="shared" si="39"/>
        <v>0</v>
      </c>
      <c r="M228" s="117">
        <f t="shared" si="39"/>
        <v>0</v>
      </c>
      <c r="N228" s="117">
        <f t="shared" si="39"/>
        <v>184.03055533333333</v>
      </c>
      <c r="O228" s="117">
        <f t="shared" si="39"/>
        <v>18</v>
      </c>
      <c r="P228" s="117">
        <f t="shared" si="39"/>
        <v>239.44699733333334</v>
      </c>
      <c r="Q228" s="117">
        <f t="shared" si="39"/>
        <v>11.221006666666668</v>
      </c>
      <c r="R228" s="17"/>
      <c r="S228" s="17"/>
    </row>
    <row r="229" spans="1:19" ht="15.75" customHeight="1" x14ac:dyDescent="0.25">
      <c r="A229" s="201"/>
      <c r="B229" s="474" t="s">
        <v>73</v>
      </c>
      <c r="C229" s="446"/>
      <c r="D229" s="447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"/>
      <c r="S229" s="1"/>
    </row>
    <row r="230" spans="1:19" ht="15.75" customHeight="1" x14ac:dyDescent="0.25">
      <c r="A230" s="106">
        <v>386</v>
      </c>
      <c r="B230" s="41" t="s">
        <v>120</v>
      </c>
      <c r="C230" s="41"/>
      <c r="D230" s="41"/>
      <c r="E230" s="106">
        <v>200</v>
      </c>
      <c r="F230" s="106">
        <v>5.6</v>
      </c>
      <c r="G230" s="106">
        <v>5</v>
      </c>
      <c r="H230" s="106">
        <v>8.1999999999999993</v>
      </c>
      <c r="I230" s="106">
        <v>100.2</v>
      </c>
      <c r="J230" s="106">
        <v>0</v>
      </c>
      <c r="K230" s="106">
        <v>1.4</v>
      </c>
      <c r="L230" s="106">
        <v>0</v>
      </c>
      <c r="M230" s="106">
        <v>0</v>
      </c>
      <c r="N230" s="106">
        <v>240</v>
      </c>
      <c r="O230" s="106">
        <v>0</v>
      </c>
      <c r="P230" s="106">
        <v>28</v>
      </c>
      <c r="Q230" s="106">
        <v>0.2</v>
      </c>
      <c r="R230" s="29"/>
      <c r="S230" s="29"/>
    </row>
    <row r="231" spans="1:19" ht="21.75" customHeight="1" x14ac:dyDescent="0.25">
      <c r="A231" s="115" t="s">
        <v>27</v>
      </c>
      <c r="B231" s="439" t="s">
        <v>51</v>
      </c>
      <c r="C231" s="440"/>
      <c r="D231" s="441"/>
      <c r="E231" s="115">
        <v>23</v>
      </c>
      <c r="F231" s="115" t="s">
        <v>121</v>
      </c>
      <c r="G231" s="115">
        <v>3.54</v>
      </c>
      <c r="H231" s="115">
        <v>7.08</v>
      </c>
      <c r="I231" s="115">
        <v>69</v>
      </c>
      <c r="J231" s="115">
        <v>4.4999999999999998E-2</v>
      </c>
      <c r="K231" s="115" t="s">
        <v>35</v>
      </c>
      <c r="L231" s="115" t="s">
        <v>35</v>
      </c>
      <c r="M231" s="115" t="s">
        <v>35</v>
      </c>
      <c r="N231" s="115">
        <v>5.5</v>
      </c>
      <c r="O231" s="115">
        <v>25</v>
      </c>
      <c r="P231" s="115" t="s">
        <v>35</v>
      </c>
      <c r="Q231" s="115">
        <v>1.05</v>
      </c>
      <c r="R231" s="29"/>
      <c r="S231" s="29"/>
    </row>
    <row r="232" spans="1:19" ht="15.75" customHeight="1" x14ac:dyDescent="0.25">
      <c r="A232" s="106"/>
      <c r="B232" s="442" t="s">
        <v>52</v>
      </c>
      <c r="C232" s="472"/>
      <c r="D232" s="473"/>
      <c r="E232" s="26">
        <f t="shared" ref="E232:Q232" si="40">SUM(E230:E231)</f>
        <v>223</v>
      </c>
      <c r="F232" s="26">
        <f t="shared" si="40"/>
        <v>5.6</v>
      </c>
      <c r="G232" s="26">
        <f t="shared" si="40"/>
        <v>8.5399999999999991</v>
      </c>
      <c r="H232" s="26">
        <f t="shared" si="40"/>
        <v>15.28</v>
      </c>
      <c r="I232" s="26">
        <f t="shared" si="40"/>
        <v>169.2</v>
      </c>
      <c r="J232" s="26">
        <f t="shared" si="40"/>
        <v>4.4999999999999998E-2</v>
      </c>
      <c r="K232" s="26">
        <f t="shared" si="40"/>
        <v>1.4</v>
      </c>
      <c r="L232" s="26">
        <f t="shared" si="40"/>
        <v>0</v>
      </c>
      <c r="M232" s="26">
        <f t="shared" si="40"/>
        <v>0</v>
      </c>
      <c r="N232" s="26">
        <f t="shared" si="40"/>
        <v>245.5</v>
      </c>
      <c r="O232" s="26">
        <f t="shared" si="40"/>
        <v>25</v>
      </c>
      <c r="P232" s="26">
        <f t="shared" si="40"/>
        <v>28</v>
      </c>
      <c r="Q232" s="26">
        <f t="shared" si="40"/>
        <v>1.25</v>
      </c>
      <c r="R232" s="17"/>
      <c r="S232" s="17"/>
    </row>
    <row r="233" spans="1:19" s="85" customFormat="1" ht="15.75" customHeight="1" x14ac:dyDescent="0.25">
      <c r="A233" s="109"/>
      <c r="B233" s="436" t="s">
        <v>53</v>
      </c>
      <c r="C233" s="437"/>
      <c r="D233" s="438"/>
      <c r="E233" s="91">
        <v>8</v>
      </c>
      <c r="F233" s="144"/>
      <c r="G233" s="144"/>
      <c r="H233" s="144"/>
      <c r="I233" s="144"/>
      <c r="J233" s="144"/>
      <c r="K233" s="144"/>
      <c r="L233" s="144"/>
      <c r="M233" s="144"/>
      <c r="N233" s="144">
        <v>29.44</v>
      </c>
      <c r="O233" s="144"/>
      <c r="P233" s="144">
        <v>1.76</v>
      </c>
      <c r="Q233" s="144">
        <v>0.23</v>
      </c>
      <c r="R233" s="221"/>
      <c r="S233" s="221"/>
    </row>
    <row r="234" spans="1:19" ht="15.75" customHeight="1" x14ac:dyDescent="0.25">
      <c r="A234" s="106"/>
      <c r="B234" s="442" t="s">
        <v>122</v>
      </c>
      <c r="C234" s="472"/>
      <c r="D234" s="473"/>
      <c r="E234" s="27">
        <f t="shared" ref="E234:M234" si="41">SUM(E200,E203,E214,E218,E228,E232)</f>
        <v>3407.114</v>
      </c>
      <c r="F234" s="22">
        <f t="shared" si="41"/>
        <v>127.52946516666668</v>
      </c>
      <c r="G234" s="22">
        <f t="shared" si="41"/>
        <v>134.09176676666667</v>
      </c>
      <c r="H234" s="22">
        <f t="shared" si="41"/>
        <v>495.38629323333328</v>
      </c>
      <c r="I234" s="22">
        <f t="shared" si="41"/>
        <v>3678.0808333333325</v>
      </c>
      <c r="J234" s="22">
        <f t="shared" si="41"/>
        <v>0.10100000000000001</v>
      </c>
      <c r="K234" s="22">
        <f t="shared" si="41"/>
        <v>73.984000000000009</v>
      </c>
      <c r="L234" s="22">
        <f t="shared" si="41"/>
        <v>0.16800000000000001</v>
      </c>
      <c r="M234" s="22">
        <f t="shared" si="41"/>
        <v>0</v>
      </c>
      <c r="N234" s="22">
        <f>SUM(N200,N203,N214,N218,N228,N232,N233)</f>
        <v>1098.4408262333334</v>
      </c>
      <c r="O234" s="42">
        <f>SUM(O200,O203,O214,O218,O228,O232)</f>
        <v>143.35</v>
      </c>
      <c r="P234" s="22">
        <f>SUM(P200,P203,P214,P218,P228,P232)</f>
        <v>730.32084813333336</v>
      </c>
      <c r="Q234" s="22">
        <f>SUM(Q200,Q203,Q214,Q218,Q228,Q232)</f>
        <v>43.99102966666667</v>
      </c>
      <c r="R234" s="17"/>
      <c r="S234" s="17"/>
    </row>
    <row r="235" spans="1:19" ht="15.75" customHeight="1" x14ac:dyDescent="0.25">
      <c r="A235" s="4"/>
      <c r="B235" s="43"/>
      <c r="C235" s="43"/>
      <c r="D235" s="43"/>
      <c r="E235" s="6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1"/>
      <c r="S235" s="1"/>
    </row>
    <row r="236" spans="1:19" ht="38.25" customHeight="1" x14ac:dyDescent="0.25">
      <c r="A236" s="523" t="s">
        <v>123</v>
      </c>
      <c r="B236" s="524"/>
      <c r="C236" s="524"/>
      <c r="D236" s="524"/>
      <c r="E236" s="524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5"/>
      <c r="S236" s="1"/>
    </row>
    <row r="237" spans="1:19" ht="15.75" customHeight="1" x14ac:dyDescent="0.25">
      <c r="A237" s="526" t="s">
        <v>3</v>
      </c>
      <c r="B237" s="528" t="s">
        <v>4</v>
      </c>
      <c r="C237" s="476"/>
      <c r="D237" s="477"/>
      <c r="E237" s="529" t="s">
        <v>5</v>
      </c>
      <c r="F237" s="530" t="s">
        <v>6</v>
      </c>
      <c r="G237" s="440"/>
      <c r="H237" s="441"/>
      <c r="I237" s="529" t="s">
        <v>7</v>
      </c>
      <c r="J237" s="530" t="s">
        <v>8</v>
      </c>
      <c r="K237" s="440"/>
      <c r="L237" s="440"/>
      <c r="M237" s="441"/>
      <c r="N237" s="65" t="s">
        <v>9</v>
      </c>
      <c r="O237" s="66"/>
      <c r="P237" s="66"/>
      <c r="Q237" s="35"/>
      <c r="R237" s="1"/>
      <c r="S237" s="1"/>
    </row>
    <row r="238" spans="1:19" ht="39.75" customHeight="1" x14ac:dyDescent="0.25">
      <c r="A238" s="527"/>
      <c r="B238" s="478"/>
      <c r="C238" s="479"/>
      <c r="D238" s="480"/>
      <c r="E238" s="527"/>
      <c r="F238" s="33" t="s">
        <v>10</v>
      </c>
      <c r="G238" s="33" t="s">
        <v>11</v>
      </c>
      <c r="H238" s="33" t="s">
        <v>12</v>
      </c>
      <c r="I238" s="527"/>
      <c r="J238" s="34" t="s">
        <v>13</v>
      </c>
      <c r="K238" s="34" t="s">
        <v>14</v>
      </c>
      <c r="L238" s="34" t="s">
        <v>15</v>
      </c>
      <c r="M238" s="35" t="s">
        <v>16</v>
      </c>
      <c r="N238" s="36" t="s">
        <v>17</v>
      </c>
      <c r="O238" s="34" t="s">
        <v>18</v>
      </c>
      <c r="P238" s="34" t="s">
        <v>19</v>
      </c>
      <c r="Q238" s="35" t="s">
        <v>20</v>
      </c>
      <c r="R238" s="1"/>
      <c r="S238" s="1"/>
    </row>
    <row r="239" spans="1:19" ht="15.75" customHeight="1" x14ac:dyDescent="0.25">
      <c r="A239" s="286">
        <v>1</v>
      </c>
      <c r="B239" s="562">
        <v>2</v>
      </c>
      <c r="C239" s="563"/>
      <c r="D239" s="564"/>
      <c r="E239" s="287">
        <v>3</v>
      </c>
      <c r="F239" s="287">
        <v>4</v>
      </c>
      <c r="G239" s="287">
        <v>5</v>
      </c>
      <c r="H239" s="287">
        <v>6</v>
      </c>
      <c r="I239" s="288">
        <v>7</v>
      </c>
      <c r="J239" s="287">
        <v>8</v>
      </c>
      <c r="K239" s="287">
        <v>9</v>
      </c>
      <c r="L239" s="287">
        <v>10</v>
      </c>
      <c r="M239" s="289">
        <v>11</v>
      </c>
      <c r="N239" s="287">
        <v>12</v>
      </c>
      <c r="O239" s="287">
        <v>13</v>
      </c>
      <c r="P239" s="287">
        <v>14</v>
      </c>
      <c r="Q239" s="290">
        <v>15</v>
      </c>
      <c r="R239" s="1"/>
      <c r="S239" s="1"/>
    </row>
    <row r="240" spans="1:19" ht="15.75" customHeight="1" x14ac:dyDescent="0.25">
      <c r="A240" s="293"/>
      <c r="B240" s="565" t="s">
        <v>21</v>
      </c>
      <c r="C240" s="566"/>
      <c r="D240" s="567"/>
      <c r="E240" s="294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2"/>
      <c r="R240" s="1"/>
      <c r="S240" s="1"/>
    </row>
    <row r="241" spans="1:19" ht="15.75" customHeight="1" x14ac:dyDescent="0.25">
      <c r="A241" s="490">
        <v>1</v>
      </c>
      <c r="B241" s="568" t="s">
        <v>124</v>
      </c>
      <c r="C241" s="569"/>
      <c r="D241" s="570"/>
      <c r="E241" s="295">
        <v>30</v>
      </c>
      <c r="F241" s="556">
        <v>5.8</v>
      </c>
      <c r="G241" s="556">
        <v>8.3000000000000007</v>
      </c>
      <c r="H241" s="556">
        <v>14.83</v>
      </c>
      <c r="I241" s="556">
        <v>157</v>
      </c>
      <c r="J241" s="556">
        <v>0.04</v>
      </c>
      <c r="K241" s="556">
        <v>0.04</v>
      </c>
      <c r="L241" s="556">
        <v>0.03</v>
      </c>
      <c r="M241" s="556">
        <v>0.11</v>
      </c>
      <c r="N241" s="556">
        <v>139.19999999999999</v>
      </c>
      <c r="O241" s="556">
        <v>9.4499999999999993</v>
      </c>
      <c r="P241" s="556">
        <v>96</v>
      </c>
      <c r="Q241" s="556">
        <v>0.49</v>
      </c>
      <c r="R241" s="29"/>
      <c r="S241" s="29"/>
    </row>
    <row r="242" spans="1:19" ht="12" customHeight="1" x14ac:dyDescent="0.25">
      <c r="A242" s="471"/>
      <c r="B242" s="478"/>
      <c r="C242" s="479"/>
      <c r="D242" s="480"/>
      <c r="E242" s="161">
        <f>E241-10</f>
        <v>20</v>
      </c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Q242" s="471"/>
      <c r="R242" s="18"/>
      <c r="S242" s="18"/>
    </row>
    <row r="243" spans="1:19" ht="18.75" customHeight="1" x14ac:dyDescent="0.25">
      <c r="A243" s="102">
        <v>209</v>
      </c>
      <c r="B243" s="571" t="s">
        <v>25</v>
      </c>
      <c r="C243" s="440"/>
      <c r="D243" s="441"/>
      <c r="E243" s="170">
        <v>40</v>
      </c>
      <c r="F243" s="170">
        <v>5.72</v>
      </c>
      <c r="G243" s="170">
        <v>4.8499999999999996</v>
      </c>
      <c r="H243" s="170">
        <v>0.03</v>
      </c>
      <c r="I243" s="170">
        <v>66.650000000000006</v>
      </c>
      <c r="J243" s="170">
        <v>3.3000000000000002E-2</v>
      </c>
      <c r="K243" s="170" t="s">
        <v>35</v>
      </c>
      <c r="L243" s="170">
        <v>0.16800000000000001</v>
      </c>
      <c r="M243" s="170" t="s">
        <v>35</v>
      </c>
      <c r="N243" s="170">
        <v>26.4</v>
      </c>
      <c r="O243" s="170">
        <v>88.8</v>
      </c>
      <c r="P243" s="170">
        <v>25.42</v>
      </c>
      <c r="Q243" s="170">
        <v>1.29</v>
      </c>
      <c r="R243" s="18"/>
      <c r="S243" s="18"/>
    </row>
    <row r="244" spans="1:19" ht="15" customHeight="1" x14ac:dyDescent="0.25">
      <c r="A244" s="546">
        <v>174</v>
      </c>
      <c r="B244" s="542" t="s">
        <v>24</v>
      </c>
      <c r="C244" s="476"/>
      <c r="D244" s="477"/>
      <c r="E244" s="128">
        <v>250</v>
      </c>
      <c r="F244" s="572">
        <f>6.11*E244/200</f>
        <v>7.6375000000000002</v>
      </c>
      <c r="G244" s="572">
        <f>10.72*E244/200</f>
        <v>13.4</v>
      </c>
      <c r="H244" s="572">
        <f>32.38*E244/200</f>
        <v>40.475000000000001</v>
      </c>
      <c r="I244" s="572">
        <f>251*E244/200</f>
        <v>313.75</v>
      </c>
      <c r="J244" s="572">
        <v>0</v>
      </c>
      <c r="K244" s="572">
        <f>1.17*E244/200</f>
        <v>1.4624999999999999</v>
      </c>
      <c r="L244" s="572">
        <v>0</v>
      </c>
      <c r="M244" s="572">
        <v>0</v>
      </c>
      <c r="N244" s="572">
        <f>133.77*E244/200</f>
        <v>167.21250000000001</v>
      </c>
      <c r="O244" s="572">
        <v>0</v>
      </c>
      <c r="P244" s="572">
        <f>20.3*E244/200</f>
        <v>25.375</v>
      </c>
      <c r="Q244" s="572">
        <v>0.47</v>
      </c>
      <c r="R244" s="18"/>
      <c r="S244" s="18"/>
    </row>
    <row r="245" spans="1:19" ht="15.75" hidden="1" customHeight="1" x14ac:dyDescent="0.25">
      <c r="A245" s="573"/>
      <c r="B245" s="574"/>
      <c r="C245" s="575"/>
      <c r="D245" s="576"/>
      <c r="E245" s="99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17"/>
      <c r="S245" s="17"/>
    </row>
    <row r="246" spans="1:19" ht="13.5" customHeight="1" x14ac:dyDescent="0.25">
      <c r="A246" s="471"/>
      <c r="B246" s="478"/>
      <c r="C246" s="479"/>
      <c r="D246" s="480"/>
      <c r="E246" s="169">
        <f>E244*4/100</f>
        <v>10</v>
      </c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Q246" s="471"/>
      <c r="R246" s="19"/>
      <c r="S246" s="17"/>
    </row>
    <row r="247" spans="1:19" ht="15.75" customHeight="1" x14ac:dyDescent="0.25">
      <c r="A247" s="106">
        <v>379</v>
      </c>
      <c r="B247" s="439" t="s">
        <v>26</v>
      </c>
      <c r="C247" s="440"/>
      <c r="D247" s="441"/>
      <c r="E247" s="106">
        <v>200</v>
      </c>
      <c r="F247" s="106">
        <v>3.58</v>
      </c>
      <c r="G247" s="106">
        <v>2.68</v>
      </c>
      <c r="H247" s="106">
        <v>28.34</v>
      </c>
      <c r="I247" s="106">
        <v>151.80000000000001</v>
      </c>
      <c r="J247" s="106">
        <v>0.02</v>
      </c>
      <c r="K247" s="106">
        <v>1.3</v>
      </c>
      <c r="L247" s="106">
        <v>0</v>
      </c>
      <c r="M247" s="106">
        <v>0</v>
      </c>
      <c r="N247" s="106">
        <v>125.78</v>
      </c>
      <c r="O247" s="106">
        <v>14</v>
      </c>
      <c r="P247" s="106">
        <v>14</v>
      </c>
      <c r="Q247" s="106">
        <v>0.13</v>
      </c>
      <c r="R247" s="17"/>
      <c r="S247" s="17"/>
    </row>
    <row r="248" spans="1:19" ht="15.75" customHeight="1" x14ac:dyDescent="0.25">
      <c r="A248" s="106" t="s">
        <v>27</v>
      </c>
      <c r="B248" s="439" t="s">
        <v>28</v>
      </c>
      <c r="C248" s="440"/>
      <c r="D248" s="441"/>
      <c r="E248" s="99">
        <v>45</v>
      </c>
      <c r="F248" s="117">
        <f>2.26*E248/30</f>
        <v>3.3899999999999997</v>
      </c>
      <c r="G248" s="117">
        <f>0.23*E248/30</f>
        <v>0.34499999999999997</v>
      </c>
      <c r="H248" s="117">
        <f>14.66*E248/30</f>
        <v>21.990000000000002</v>
      </c>
      <c r="I248" s="117">
        <f>68.86*E248/30</f>
        <v>103.28999999999999</v>
      </c>
      <c r="J248" s="117">
        <v>0</v>
      </c>
      <c r="K248" s="117">
        <v>0</v>
      </c>
      <c r="L248" s="117">
        <v>0</v>
      </c>
      <c r="M248" s="117">
        <v>0</v>
      </c>
      <c r="N248" s="117">
        <f>12.97*E248/30</f>
        <v>19.454999999999998</v>
      </c>
      <c r="O248" s="117">
        <v>0</v>
      </c>
      <c r="P248" s="117">
        <f>2.83*E248/30</f>
        <v>4.2450000000000001</v>
      </c>
      <c r="Q248" s="117">
        <f>0.74*E248/30</f>
        <v>1.1099999999999999</v>
      </c>
      <c r="R248" s="17"/>
      <c r="S248" s="17"/>
    </row>
    <row r="249" spans="1:19" ht="13.5" customHeight="1" x14ac:dyDescent="0.25">
      <c r="A249" s="106"/>
      <c r="B249" s="442" t="s">
        <v>29</v>
      </c>
      <c r="C249" s="443"/>
      <c r="D249" s="444"/>
      <c r="E249" s="99">
        <f>SUM(E244:E248)+200+15+7</f>
        <v>727</v>
      </c>
      <c r="F249" s="117">
        <f t="shared" ref="F249:Q249" si="42">SUM(F241:F248)</f>
        <v>26.127499999999998</v>
      </c>
      <c r="G249" s="117">
        <f t="shared" si="42"/>
        <v>29.574999999999999</v>
      </c>
      <c r="H249" s="117">
        <f t="shared" si="42"/>
        <v>105.66499999999999</v>
      </c>
      <c r="I249" s="117">
        <f t="shared" si="42"/>
        <v>792.49</v>
      </c>
      <c r="J249" s="117">
        <f t="shared" si="42"/>
        <v>9.3000000000000013E-2</v>
      </c>
      <c r="K249" s="117">
        <f t="shared" si="42"/>
        <v>2.8025000000000002</v>
      </c>
      <c r="L249" s="117">
        <f t="shared" si="42"/>
        <v>0.19800000000000001</v>
      </c>
      <c r="M249" s="117">
        <f t="shared" si="42"/>
        <v>0.11</v>
      </c>
      <c r="N249" s="117">
        <f t="shared" si="42"/>
        <v>478.04749999999996</v>
      </c>
      <c r="O249" s="117">
        <f t="shared" si="42"/>
        <v>112.25</v>
      </c>
      <c r="P249" s="117">
        <f t="shared" si="42"/>
        <v>165.04000000000002</v>
      </c>
      <c r="Q249" s="117">
        <f t="shared" si="42"/>
        <v>3.4899999999999998</v>
      </c>
      <c r="R249" s="17"/>
      <c r="S249" s="17"/>
    </row>
    <row r="250" spans="1:19" ht="16.5" customHeight="1" x14ac:dyDescent="0.25">
      <c r="A250" s="201"/>
      <c r="B250" s="522" t="s">
        <v>30</v>
      </c>
      <c r="C250" s="446"/>
      <c r="D250" s="447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"/>
      <c r="S250" s="1"/>
    </row>
    <row r="251" spans="1:19" ht="15.75" customHeight="1" x14ac:dyDescent="0.25">
      <c r="A251" s="106">
        <v>338</v>
      </c>
      <c r="B251" s="439" t="s">
        <v>31</v>
      </c>
      <c r="C251" s="440"/>
      <c r="D251" s="441"/>
      <c r="E251" s="133">
        <v>300</v>
      </c>
      <c r="F251" s="133">
        <v>1.2</v>
      </c>
      <c r="G251" s="134">
        <v>1.2</v>
      </c>
      <c r="H251" s="133">
        <v>29.4</v>
      </c>
      <c r="I251" s="133">
        <v>132</v>
      </c>
      <c r="J251" s="133">
        <v>0</v>
      </c>
      <c r="K251" s="133">
        <v>30</v>
      </c>
      <c r="L251" s="133">
        <v>0</v>
      </c>
      <c r="M251" s="133">
        <v>0</v>
      </c>
      <c r="N251" s="133">
        <v>48</v>
      </c>
      <c r="O251" s="133">
        <v>0</v>
      </c>
      <c r="P251" s="133">
        <v>27</v>
      </c>
      <c r="Q251" s="133">
        <v>6.6</v>
      </c>
      <c r="R251" s="29"/>
      <c r="S251" s="29"/>
    </row>
    <row r="252" spans="1:19" ht="15.75" customHeight="1" x14ac:dyDescent="0.25">
      <c r="A252" s="106"/>
      <c r="B252" s="442" t="s">
        <v>112</v>
      </c>
      <c r="C252" s="443"/>
      <c r="D252" s="444"/>
      <c r="E252" s="106">
        <f>E251</f>
        <v>300</v>
      </c>
      <c r="F252" s="106">
        <f t="shared" ref="F252:Q252" si="43">SUM(F251)</f>
        <v>1.2</v>
      </c>
      <c r="G252" s="132">
        <f t="shared" si="43"/>
        <v>1.2</v>
      </c>
      <c r="H252" s="106">
        <f t="shared" si="43"/>
        <v>29.4</v>
      </c>
      <c r="I252" s="106">
        <f t="shared" si="43"/>
        <v>132</v>
      </c>
      <c r="J252" s="106">
        <f t="shared" si="43"/>
        <v>0</v>
      </c>
      <c r="K252" s="106">
        <f t="shared" si="43"/>
        <v>30</v>
      </c>
      <c r="L252" s="106">
        <f t="shared" si="43"/>
        <v>0</v>
      </c>
      <c r="M252" s="106">
        <f t="shared" si="43"/>
        <v>0</v>
      </c>
      <c r="N252" s="106">
        <f t="shared" si="43"/>
        <v>48</v>
      </c>
      <c r="O252" s="106">
        <f t="shared" si="43"/>
        <v>0</v>
      </c>
      <c r="P252" s="106">
        <f t="shared" si="43"/>
        <v>27</v>
      </c>
      <c r="Q252" s="106">
        <f t="shared" si="43"/>
        <v>6.6</v>
      </c>
      <c r="R252" s="17"/>
      <c r="S252" s="17"/>
    </row>
    <row r="253" spans="1:19" ht="15.75" customHeight="1" x14ac:dyDescent="0.25">
      <c r="A253" s="201"/>
      <c r="B253" s="522" t="s">
        <v>33</v>
      </c>
      <c r="C253" s="446"/>
      <c r="D253" s="447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"/>
      <c r="S253" s="1"/>
    </row>
    <row r="254" spans="1:19" ht="15.75" customHeight="1" x14ac:dyDescent="0.25">
      <c r="A254" s="106">
        <v>71</v>
      </c>
      <c r="B254" s="439" t="s">
        <v>61</v>
      </c>
      <c r="C254" s="440"/>
      <c r="D254" s="441"/>
      <c r="E254" s="100">
        <v>100</v>
      </c>
      <c r="F254" s="117">
        <f>1.2*E254/100</f>
        <v>1.2</v>
      </c>
      <c r="G254" s="117">
        <f>0*E254/100</f>
        <v>0</v>
      </c>
      <c r="H254" s="117">
        <f>4.6*E254/100</f>
        <v>4.5999999999999996</v>
      </c>
      <c r="I254" s="117">
        <f>23.2*E254/100</f>
        <v>23.2</v>
      </c>
      <c r="J254" s="117">
        <f>0*E254/100</f>
        <v>0</v>
      </c>
      <c r="K254" s="117">
        <f>25*E254/100</f>
        <v>25</v>
      </c>
      <c r="L254" s="117">
        <v>0</v>
      </c>
      <c r="M254" s="117">
        <v>0</v>
      </c>
      <c r="N254" s="117">
        <f>14*E254/100</f>
        <v>14</v>
      </c>
      <c r="O254" s="117">
        <v>0</v>
      </c>
      <c r="P254" s="117">
        <f>9.34*E254/100</f>
        <v>9.34</v>
      </c>
      <c r="Q254" s="117">
        <f>0.9*E254/100</f>
        <v>0.9</v>
      </c>
      <c r="R254" s="17"/>
      <c r="S254" s="17"/>
    </row>
    <row r="255" spans="1:19" ht="23.25" customHeight="1" x14ac:dyDescent="0.25">
      <c r="A255" s="106">
        <v>103</v>
      </c>
      <c r="B255" s="544" t="s">
        <v>125</v>
      </c>
      <c r="C255" s="440"/>
      <c r="D255" s="441"/>
      <c r="E255" s="115">
        <v>250</v>
      </c>
      <c r="F255" s="200">
        <f>2.86*E255/250</f>
        <v>2.86</v>
      </c>
      <c r="G255" s="200">
        <f>3.08*E255/250</f>
        <v>3.08</v>
      </c>
      <c r="H255" s="200">
        <f>16.83*E255/250</f>
        <v>16.829999999999998</v>
      </c>
      <c r="I255" s="200">
        <f>350.4*E255/250</f>
        <v>350.4</v>
      </c>
      <c r="J255" s="200" t="s">
        <v>35</v>
      </c>
      <c r="K255" s="200">
        <f>8.25*E255/250</f>
        <v>8.25</v>
      </c>
      <c r="L255" s="200">
        <v>0</v>
      </c>
      <c r="M255" s="200">
        <v>0</v>
      </c>
      <c r="N255" s="200">
        <f>26.73*E255/250</f>
        <v>26.73</v>
      </c>
      <c r="O255" s="200">
        <v>0</v>
      </c>
      <c r="P255" s="200">
        <f>26.96*E255/250</f>
        <v>26.96</v>
      </c>
      <c r="Q255" s="200">
        <f>1.1*E255/250</f>
        <v>1.1000000000000001</v>
      </c>
      <c r="R255" s="17"/>
      <c r="S255" s="17"/>
    </row>
    <row r="256" spans="1:19" ht="13.5" customHeight="1" x14ac:dyDescent="0.25">
      <c r="A256" s="577">
        <v>171</v>
      </c>
      <c r="B256" s="579" t="s">
        <v>126</v>
      </c>
      <c r="C256" s="580"/>
      <c r="D256" s="581"/>
      <c r="E256" s="135">
        <v>200</v>
      </c>
      <c r="F256" s="561">
        <f>11.2*E256/200</f>
        <v>11.2</v>
      </c>
      <c r="G256" s="561">
        <v>11.93</v>
      </c>
      <c r="H256" s="561">
        <f>55.7*E256/200</f>
        <v>55.7</v>
      </c>
      <c r="I256" s="561">
        <f>350.4*E256/200</f>
        <v>350.4</v>
      </c>
      <c r="J256" s="561">
        <v>0</v>
      </c>
      <c r="K256" s="561">
        <v>0</v>
      </c>
      <c r="L256" s="561">
        <v>0</v>
      </c>
      <c r="M256" s="561">
        <v>0</v>
      </c>
      <c r="N256" s="561">
        <v>32.97</v>
      </c>
      <c r="O256" s="561">
        <v>0</v>
      </c>
      <c r="P256" s="561">
        <v>175.64</v>
      </c>
      <c r="Q256" s="561">
        <v>5.9</v>
      </c>
      <c r="R256" s="17"/>
      <c r="S256" s="17"/>
    </row>
    <row r="257" spans="1:19" ht="13.5" customHeight="1" x14ac:dyDescent="0.25">
      <c r="A257" s="578"/>
      <c r="B257" s="582"/>
      <c r="C257" s="583"/>
      <c r="D257" s="584"/>
      <c r="E257" s="135">
        <v>7</v>
      </c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Q257" s="471"/>
      <c r="R257" s="17"/>
      <c r="S257" s="17"/>
    </row>
    <row r="258" spans="1:19" ht="20.25" customHeight="1" x14ac:dyDescent="0.25">
      <c r="A258" s="106">
        <v>241</v>
      </c>
      <c r="B258" s="544" t="s">
        <v>127</v>
      </c>
      <c r="C258" s="440"/>
      <c r="D258" s="441"/>
      <c r="E258" s="122">
        <v>120</v>
      </c>
      <c r="F258" s="106">
        <f>21.35*E258/100</f>
        <v>25.62</v>
      </c>
      <c r="G258" s="106">
        <f>20.43*E258/100</f>
        <v>24.515999999999998</v>
      </c>
      <c r="H258" s="106">
        <f>0.5*E258/100</f>
        <v>0.6</v>
      </c>
      <c r="I258" s="106">
        <f>271.3*E258/100</f>
        <v>325.56</v>
      </c>
      <c r="J258" s="106">
        <v>0</v>
      </c>
      <c r="K258" s="106">
        <f>0.02*E258/100</f>
        <v>2.4E-2</v>
      </c>
      <c r="L258" s="106">
        <v>0</v>
      </c>
      <c r="M258" s="106">
        <v>0</v>
      </c>
      <c r="N258" s="106">
        <f>43.48*E258/100</f>
        <v>52.175999999999995</v>
      </c>
      <c r="O258" s="106">
        <v>0</v>
      </c>
      <c r="P258" s="106">
        <f>28.93*E258/100</f>
        <v>34.716000000000001</v>
      </c>
      <c r="Q258" s="106">
        <f>3.48*E258/100</f>
        <v>4.1760000000000002</v>
      </c>
      <c r="R258" s="17"/>
      <c r="S258" s="17"/>
    </row>
    <row r="259" spans="1:19" ht="15.75" customHeight="1" x14ac:dyDescent="0.25">
      <c r="A259" s="106">
        <v>331</v>
      </c>
      <c r="B259" s="585" t="s">
        <v>128</v>
      </c>
      <c r="C259" s="440"/>
      <c r="D259" s="441"/>
      <c r="E259" s="100">
        <v>50</v>
      </c>
      <c r="F259" s="117">
        <f>0.88*E259/100</f>
        <v>0.44</v>
      </c>
      <c r="G259" s="117">
        <f>11.07*E259/100</f>
        <v>5.5350000000000001</v>
      </c>
      <c r="H259" s="117">
        <f>3.78*E259/100</f>
        <v>1.89</v>
      </c>
      <c r="I259" s="117">
        <f>118.13*E259/100</f>
        <v>59.064999999999998</v>
      </c>
      <c r="J259" s="117"/>
      <c r="K259" s="117">
        <f>1.42*E259/100</f>
        <v>0.71</v>
      </c>
      <c r="L259" s="117"/>
      <c r="M259" s="117"/>
      <c r="N259" s="117">
        <f>24.91*E259/100</f>
        <v>12.455</v>
      </c>
      <c r="O259" s="117"/>
      <c r="P259" s="117">
        <f>7.7*E259/100</f>
        <v>3.85</v>
      </c>
      <c r="Q259" s="117">
        <f>0.27*E259/100</f>
        <v>0.13500000000000001</v>
      </c>
      <c r="R259" s="17"/>
      <c r="S259" s="17"/>
    </row>
    <row r="260" spans="1:19" ht="15.75" customHeight="1" x14ac:dyDescent="0.25">
      <c r="A260" s="106">
        <v>349</v>
      </c>
      <c r="B260" s="540" t="s">
        <v>38</v>
      </c>
      <c r="C260" s="440"/>
      <c r="D260" s="441"/>
      <c r="E260" s="100">
        <v>200</v>
      </c>
      <c r="F260" s="117">
        <v>0.66</v>
      </c>
      <c r="G260" s="117">
        <v>0.09</v>
      </c>
      <c r="H260" s="117">
        <v>32.1</v>
      </c>
      <c r="I260" s="117">
        <v>133</v>
      </c>
      <c r="J260" s="117">
        <v>0</v>
      </c>
      <c r="K260" s="117">
        <v>0.02</v>
      </c>
      <c r="L260" s="117">
        <v>0.73</v>
      </c>
      <c r="M260" s="117">
        <v>0.51</v>
      </c>
      <c r="N260" s="117">
        <v>14</v>
      </c>
      <c r="O260" s="117">
        <v>229.8</v>
      </c>
      <c r="P260" s="117">
        <v>32.479999999999997</v>
      </c>
      <c r="Q260" s="117">
        <v>0.51</v>
      </c>
      <c r="R260" s="29"/>
      <c r="S260" s="29"/>
    </row>
    <row r="261" spans="1:19" ht="15.75" customHeight="1" x14ac:dyDescent="0.25">
      <c r="A261" s="106" t="s">
        <v>27</v>
      </c>
      <c r="B261" s="41" t="s">
        <v>39</v>
      </c>
      <c r="C261" s="41"/>
      <c r="D261" s="41"/>
      <c r="E261" s="99">
        <v>120</v>
      </c>
      <c r="F261" s="117">
        <f>4.03*E261/50</f>
        <v>9.6720000000000006</v>
      </c>
      <c r="G261" s="117">
        <f>0.5*E261/50</f>
        <v>1.2</v>
      </c>
      <c r="H261" s="117">
        <f>22.36*E261/50</f>
        <v>53.663999999999994</v>
      </c>
      <c r="I261" s="117">
        <f>98.86*E261/50</f>
        <v>237.26400000000001</v>
      </c>
      <c r="J261" s="117">
        <v>0</v>
      </c>
      <c r="K261" s="117">
        <v>0</v>
      </c>
      <c r="L261" s="117">
        <v>0</v>
      </c>
      <c r="M261" s="117">
        <v>0</v>
      </c>
      <c r="N261" s="117">
        <f>17.59*E261/50</f>
        <v>42.216000000000001</v>
      </c>
      <c r="O261" s="117">
        <v>0</v>
      </c>
      <c r="P261" s="117">
        <f>1.89*E261/50</f>
        <v>4.5359999999999996</v>
      </c>
      <c r="Q261" s="117">
        <f>0.88*E261/50</f>
        <v>2.1120000000000001</v>
      </c>
      <c r="R261" s="17"/>
      <c r="S261" s="17"/>
    </row>
    <row r="262" spans="1:19" ht="15.75" customHeight="1" x14ac:dyDescent="0.25">
      <c r="A262" s="106" t="s">
        <v>27</v>
      </c>
      <c r="B262" s="439" t="s">
        <v>28</v>
      </c>
      <c r="C262" s="440"/>
      <c r="D262" s="441"/>
      <c r="E262" s="99">
        <v>45</v>
      </c>
      <c r="F262" s="117">
        <f>2.26*E262/30</f>
        <v>3.3899999999999997</v>
      </c>
      <c r="G262" s="117">
        <f>0.23*E262/30</f>
        <v>0.34499999999999997</v>
      </c>
      <c r="H262" s="117">
        <f>14.66*E262/30</f>
        <v>21.990000000000002</v>
      </c>
      <c r="I262" s="117">
        <f>68.86*E262/30</f>
        <v>103.28999999999999</v>
      </c>
      <c r="J262" s="117">
        <v>0</v>
      </c>
      <c r="K262" s="117">
        <v>0</v>
      </c>
      <c r="L262" s="117">
        <v>0</v>
      </c>
      <c r="M262" s="117">
        <v>0</v>
      </c>
      <c r="N262" s="117">
        <f>12.97*E262/30</f>
        <v>19.454999999999998</v>
      </c>
      <c r="O262" s="117">
        <v>0</v>
      </c>
      <c r="P262" s="117">
        <f>2.83*E262/30</f>
        <v>4.2450000000000001</v>
      </c>
      <c r="Q262" s="117">
        <f>0.74*E262/30</f>
        <v>1.1099999999999999</v>
      </c>
      <c r="R262" s="17"/>
      <c r="S262" s="17"/>
    </row>
    <row r="263" spans="1:19" ht="16.5" customHeight="1" x14ac:dyDescent="0.25">
      <c r="A263" s="106"/>
      <c r="B263" s="586" t="s">
        <v>65</v>
      </c>
      <c r="C263" s="587"/>
      <c r="D263" s="588"/>
      <c r="E263" s="100">
        <f t="shared" ref="E263:Q263" si="44">SUM(E254:E262)</f>
        <v>1092</v>
      </c>
      <c r="F263" s="117">
        <f t="shared" si="44"/>
        <v>55.041999999999987</v>
      </c>
      <c r="G263" s="117">
        <f t="shared" si="44"/>
        <v>46.695999999999998</v>
      </c>
      <c r="H263" s="117">
        <f t="shared" si="44"/>
        <v>187.374</v>
      </c>
      <c r="I263" s="117">
        <f t="shared" si="44"/>
        <v>1582.1790000000001</v>
      </c>
      <c r="J263" s="117">
        <f t="shared" si="44"/>
        <v>0</v>
      </c>
      <c r="K263" s="117">
        <f t="shared" si="44"/>
        <v>34.004000000000005</v>
      </c>
      <c r="L263" s="117">
        <f t="shared" si="44"/>
        <v>0.73</v>
      </c>
      <c r="M263" s="117">
        <f t="shared" si="44"/>
        <v>0.51</v>
      </c>
      <c r="N263" s="117">
        <f t="shared" si="44"/>
        <v>214.00200000000001</v>
      </c>
      <c r="O263" s="117">
        <f t="shared" si="44"/>
        <v>229.8</v>
      </c>
      <c r="P263" s="117">
        <f t="shared" si="44"/>
        <v>291.767</v>
      </c>
      <c r="Q263" s="117">
        <f t="shared" si="44"/>
        <v>15.943</v>
      </c>
      <c r="R263" s="29"/>
      <c r="S263" s="29"/>
    </row>
    <row r="264" spans="1:19" ht="17.25" customHeight="1" x14ac:dyDescent="0.25">
      <c r="A264" s="201"/>
      <c r="B264" s="589" t="s">
        <v>129</v>
      </c>
      <c r="C264" s="590"/>
      <c r="D264" s="591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"/>
      <c r="S264" s="1"/>
    </row>
    <row r="265" spans="1:19" ht="23.25" customHeight="1" x14ac:dyDescent="0.25">
      <c r="A265" s="106" t="s">
        <v>27</v>
      </c>
      <c r="B265" s="436" t="s">
        <v>51</v>
      </c>
      <c r="C265" s="440"/>
      <c r="D265" s="441"/>
      <c r="E265" s="102">
        <v>23</v>
      </c>
      <c r="F265" s="102">
        <v>1.25</v>
      </c>
      <c r="G265" s="102">
        <v>1.48</v>
      </c>
      <c r="H265" s="102">
        <v>34.89</v>
      </c>
      <c r="I265" s="102">
        <v>160.75</v>
      </c>
      <c r="J265" s="102">
        <v>0</v>
      </c>
      <c r="K265" s="102">
        <v>0.1</v>
      </c>
      <c r="L265" s="102">
        <v>0</v>
      </c>
      <c r="M265" s="102">
        <v>0</v>
      </c>
      <c r="N265" s="102">
        <v>6.8</v>
      </c>
      <c r="O265" s="102">
        <v>0</v>
      </c>
      <c r="P265" s="102">
        <v>4.53</v>
      </c>
      <c r="Q265" s="102">
        <v>0.9</v>
      </c>
      <c r="R265" s="39"/>
      <c r="S265" s="39"/>
    </row>
    <row r="266" spans="1:19" ht="20.25" customHeight="1" x14ac:dyDescent="0.25">
      <c r="A266" s="102">
        <v>342</v>
      </c>
      <c r="B266" s="555" t="s">
        <v>38</v>
      </c>
      <c r="C266" s="440"/>
      <c r="D266" s="441"/>
      <c r="E266" s="199">
        <v>200</v>
      </c>
      <c r="F266" s="196">
        <v>0.08</v>
      </c>
      <c r="G266" s="196">
        <v>0</v>
      </c>
      <c r="H266" s="196">
        <v>21.82</v>
      </c>
      <c r="I266" s="196">
        <v>87.6</v>
      </c>
      <c r="J266" s="196">
        <v>0</v>
      </c>
      <c r="K266" s="196">
        <v>2.25</v>
      </c>
      <c r="L266" s="196">
        <v>0</v>
      </c>
      <c r="M266" s="196">
        <v>0</v>
      </c>
      <c r="N266" s="196">
        <v>17</v>
      </c>
      <c r="O266" s="196">
        <v>0</v>
      </c>
      <c r="P266" s="196">
        <v>9</v>
      </c>
      <c r="Q266" s="196">
        <v>2.2000000000000002</v>
      </c>
      <c r="R266" s="39"/>
      <c r="S266" s="39"/>
    </row>
    <row r="267" spans="1:19" ht="17.25" customHeight="1" x14ac:dyDescent="0.25">
      <c r="A267" s="102"/>
      <c r="B267" s="592" t="s">
        <v>86</v>
      </c>
      <c r="C267" s="440"/>
      <c r="D267" s="441"/>
      <c r="E267" s="102">
        <f t="shared" ref="E267:Q267" si="45">SUM(E265:E266)</f>
        <v>223</v>
      </c>
      <c r="F267" s="102">
        <f t="shared" si="45"/>
        <v>1.33</v>
      </c>
      <c r="G267" s="102">
        <f t="shared" si="45"/>
        <v>1.48</v>
      </c>
      <c r="H267" s="102">
        <f t="shared" si="45"/>
        <v>56.71</v>
      </c>
      <c r="I267" s="102">
        <f t="shared" si="45"/>
        <v>248.35</v>
      </c>
      <c r="J267" s="102">
        <f t="shared" si="45"/>
        <v>0</v>
      </c>
      <c r="K267" s="102">
        <f t="shared" si="45"/>
        <v>2.35</v>
      </c>
      <c r="L267" s="102">
        <f t="shared" si="45"/>
        <v>0</v>
      </c>
      <c r="M267" s="102">
        <f t="shared" si="45"/>
        <v>0</v>
      </c>
      <c r="N267" s="102">
        <f t="shared" si="45"/>
        <v>23.8</v>
      </c>
      <c r="O267" s="102">
        <f t="shared" si="45"/>
        <v>0</v>
      </c>
      <c r="P267" s="102">
        <f t="shared" si="45"/>
        <v>13.530000000000001</v>
      </c>
      <c r="Q267" s="102">
        <f t="shared" si="45"/>
        <v>3.1</v>
      </c>
      <c r="R267" s="18"/>
      <c r="S267" s="18"/>
    </row>
    <row r="268" spans="1:19" ht="15.75" customHeight="1" x14ac:dyDescent="0.25">
      <c r="A268" s="201"/>
      <c r="B268" s="474" t="s">
        <v>44</v>
      </c>
      <c r="C268" s="446"/>
      <c r="D268" s="447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"/>
      <c r="S268" s="1"/>
    </row>
    <row r="269" spans="1:19" ht="15.75" customHeight="1" x14ac:dyDescent="0.25">
      <c r="A269" s="106">
        <v>52</v>
      </c>
      <c r="B269" s="448" t="s">
        <v>80</v>
      </c>
      <c r="C269" s="440"/>
      <c r="D269" s="441"/>
      <c r="E269" s="122">
        <v>120</v>
      </c>
      <c r="F269" s="106">
        <v>8.1300000000000008</v>
      </c>
      <c r="G269" s="106">
        <v>10.32</v>
      </c>
      <c r="H269" s="106">
        <v>13</v>
      </c>
      <c r="I269" s="106">
        <v>184.99</v>
      </c>
      <c r="J269" s="106">
        <v>0</v>
      </c>
      <c r="K269" s="106">
        <v>24.84</v>
      </c>
      <c r="L269" s="106">
        <v>0</v>
      </c>
      <c r="M269" s="106">
        <v>0</v>
      </c>
      <c r="N269" s="106">
        <v>81.510000000000005</v>
      </c>
      <c r="O269" s="106">
        <v>0</v>
      </c>
      <c r="P269" s="106">
        <v>32.549999999999997</v>
      </c>
      <c r="Q269" s="106">
        <v>1.28</v>
      </c>
      <c r="R269" s="19"/>
      <c r="S269" s="17"/>
    </row>
    <row r="270" spans="1:19" ht="13.5" customHeight="1" x14ac:dyDescent="0.25">
      <c r="A270" s="470">
        <v>259</v>
      </c>
      <c r="B270" s="539" t="s">
        <v>131</v>
      </c>
      <c r="C270" s="476"/>
      <c r="D270" s="477"/>
      <c r="E270" s="122">
        <v>120</v>
      </c>
      <c r="F270" s="470">
        <v>20.8</v>
      </c>
      <c r="G270" s="470">
        <v>20.2</v>
      </c>
      <c r="H270" s="470">
        <v>28</v>
      </c>
      <c r="I270" s="470">
        <v>375.2</v>
      </c>
      <c r="J270" s="470">
        <v>0</v>
      </c>
      <c r="K270" s="470">
        <v>34</v>
      </c>
      <c r="L270" s="470">
        <v>0</v>
      </c>
      <c r="M270" s="470">
        <v>0</v>
      </c>
      <c r="N270" s="470">
        <v>28.1</v>
      </c>
      <c r="O270" s="470">
        <v>0</v>
      </c>
      <c r="P270" s="470">
        <v>52.5</v>
      </c>
      <c r="Q270" s="470">
        <v>3.26</v>
      </c>
      <c r="R270" s="67"/>
      <c r="S270" s="29"/>
    </row>
    <row r="271" spans="1:19" ht="13.5" customHeight="1" x14ac:dyDescent="0.25">
      <c r="A271" s="471"/>
      <c r="B271" s="478"/>
      <c r="C271" s="479"/>
      <c r="D271" s="480"/>
      <c r="E271" s="100">
        <v>200</v>
      </c>
      <c r="F271" s="471"/>
      <c r="G271" s="471"/>
      <c r="H271" s="471"/>
      <c r="I271" s="471"/>
      <c r="J271" s="471"/>
      <c r="K271" s="471"/>
      <c r="L271" s="471"/>
      <c r="M271" s="471"/>
      <c r="N271" s="471"/>
      <c r="O271" s="471"/>
      <c r="P271" s="471"/>
      <c r="Q271" s="471"/>
      <c r="R271" s="29"/>
      <c r="S271" s="29"/>
    </row>
    <row r="272" spans="1:19" ht="15.75" customHeight="1" x14ac:dyDescent="0.25">
      <c r="A272" s="106">
        <v>389</v>
      </c>
      <c r="B272" s="540" t="s">
        <v>132</v>
      </c>
      <c r="C272" s="440"/>
      <c r="D272" s="441"/>
      <c r="E272" s="100">
        <v>200</v>
      </c>
      <c r="F272" s="117">
        <v>1</v>
      </c>
      <c r="G272" s="117">
        <v>0</v>
      </c>
      <c r="H272" s="117">
        <v>20.2</v>
      </c>
      <c r="I272" s="117">
        <v>84.8</v>
      </c>
      <c r="J272" s="117">
        <v>0</v>
      </c>
      <c r="K272" s="117">
        <v>4</v>
      </c>
      <c r="L272" s="117">
        <v>0</v>
      </c>
      <c r="M272" s="117">
        <v>0</v>
      </c>
      <c r="N272" s="117">
        <v>14</v>
      </c>
      <c r="O272" s="117">
        <v>0</v>
      </c>
      <c r="P272" s="117">
        <v>8</v>
      </c>
      <c r="Q272" s="117">
        <v>2.8</v>
      </c>
      <c r="R272" s="29"/>
      <c r="S272" s="29"/>
    </row>
    <row r="273" spans="1:19" ht="15.75" customHeight="1" x14ac:dyDescent="0.25">
      <c r="A273" s="106" t="s">
        <v>133</v>
      </c>
      <c r="B273" s="41" t="s">
        <v>39</v>
      </c>
      <c r="C273" s="41"/>
      <c r="D273" s="41"/>
      <c r="E273" s="99">
        <v>75</v>
      </c>
      <c r="F273" s="117">
        <f>4.03*E273/50</f>
        <v>6.0449999999999999</v>
      </c>
      <c r="G273" s="117">
        <f>0.5*E273/50</f>
        <v>0.75</v>
      </c>
      <c r="H273" s="117">
        <f>22.36*E273/50</f>
        <v>33.54</v>
      </c>
      <c r="I273" s="117">
        <f>98.86*E273/50</f>
        <v>148.29</v>
      </c>
      <c r="J273" s="117">
        <v>0</v>
      </c>
      <c r="K273" s="117">
        <v>0</v>
      </c>
      <c r="L273" s="117">
        <v>0</v>
      </c>
      <c r="M273" s="117">
        <v>0</v>
      </c>
      <c r="N273" s="117">
        <f>17.59*E273/50</f>
        <v>26.385000000000002</v>
      </c>
      <c r="O273" s="117">
        <v>0</v>
      </c>
      <c r="P273" s="117">
        <f>1.89*E273/50</f>
        <v>2.835</v>
      </c>
      <c r="Q273" s="117">
        <f>0.88*E273/50</f>
        <v>1.32</v>
      </c>
      <c r="R273" s="17"/>
      <c r="S273" s="17"/>
    </row>
    <row r="274" spans="1:19" ht="15.75" customHeight="1" x14ac:dyDescent="0.25">
      <c r="A274" s="106" t="s">
        <v>27</v>
      </c>
      <c r="B274" s="439" t="s">
        <v>28</v>
      </c>
      <c r="C274" s="440"/>
      <c r="D274" s="441"/>
      <c r="E274" s="99">
        <v>45</v>
      </c>
      <c r="F274" s="117">
        <f>2.26*E274/30</f>
        <v>3.3899999999999997</v>
      </c>
      <c r="G274" s="117">
        <f>0.23*E274/30</f>
        <v>0.34499999999999997</v>
      </c>
      <c r="H274" s="117">
        <f>14.66*E274/30</f>
        <v>21.990000000000002</v>
      </c>
      <c r="I274" s="117">
        <f>68.86*E274/30</f>
        <v>103.28999999999999</v>
      </c>
      <c r="J274" s="117">
        <v>0</v>
      </c>
      <c r="K274" s="117">
        <v>0</v>
      </c>
      <c r="L274" s="117">
        <v>0</v>
      </c>
      <c r="M274" s="117">
        <v>0</v>
      </c>
      <c r="N274" s="117">
        <f>12.97*E274/30</f>
        <v>19.454999999999998</v>
      </c>
      <c r="O274" s="117">
        <v>0</v>
      </c>
      <c r="P274" s="117">
        <f>2.83*E274/30</f>
        <v>4.2450000000000001</v>
      </c>
      <c r="Q274" s="117">
        <f>0.74*E274/30</f>
        <v>1.1099999999999999</v>
      </c>
      <c r="R274" s="17"/>
      <c r="S274" s="17"/>
    </row>
    <row r="275" spans="1:19" ht="15.75" customHeight="1" x14ac:dyDescent="0.25">
      <c r="A275" s="106"/>
      <c r="B275" s="442" t="s">
        <v>72</v>
      </c>
      <c r="C275" s="472"/>
      <c r="D275" s="473"/>
      <c r="E275" s="106">
        <f t="shared" ref="E275:Q275" si="46">SUM(E269:E274)</f>
        <v>760</v>
      </c>
      <c r="F275" s="106">
        <f t="shared" si="46"/>
        <v>39.365000000000002</v>
      </c>
      <c r="G275" s="106">
        <f t="shared" si="46"/>
        <v>31.614999999999998</v>
      </c>
      <c r="H275" s="106">
        <f t="shared" si="46"/>
        <v>116.73000000000002</v>
      </c>
      <c r="I275" s="106">
        <f t="shared" si="46"/>
        <v>896.56999999999994</v>
      </c>
      <c r="J275" s="132">
        <f t="shared" si="46"/>
        <v>0</v>
      </c>
      <c r="K275" s="132">
        <f t="shared" si="46"/>
        <v>62.84</v>
      </c>
      <c r="L275" s="106">
        <f t="shared" si="46"/>
        <v>0</v>
      </c>
      <c r="M275" s="106">
        <f t="shared" si="46"/>
        <v>0</v>
      </c>
      <c r="N275" s="106">
        <f t="shared" si="46"/>
        <v>169.45</v>
      </c>
      <c r="O275" s="106">
        <f t="shared" si="46"/>
        <v>0</v>
      </c>
      <c r="P275" s="106">
        <f t="shared" si="46"/>
        <v>100.13</v>
      </c>
      <c r="Q275" s="106">
        <f t="shared" si="46"/>
        <v>9.77</v>
      </c>
      <c r="R275" s="17"/>
      <c r="S275" s="17"/>
    </row>
    <row r="276" spans="1:19" ht="15.75" customHeight="1" x14ac:dyDescent="0.25">
      <c r="A276" s="201"/>
      <c r="B276" s="474" t="s">
        <v>73</v>
      </c>
      <c r="C276" s="446"/>
      <c r="D276" s="447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"/>
      <c r="S276" s="1"/>
    </row>
    <row r="277" spans="1:19" ht="15.75" customHeight="1" x14ac:dyDescent="0.25">
      <c r="A277" s="225"/>
      <c r="B277" s="593"/>
      <c r="C277" s="440"/>
      <c r="D277" s="441"/>
      <c r="E277" s="296"/>
      <c r="F277" s="297"/>
      <c r="G277" s="297"/>
      <c r="H277" s="297"/>
      <c r="I277" s="297"/>
      <c r="J277" s="298"/>
      <c r="K277" s="298"/>
      <c r="L277" s="298"/>
      <c r="M277" s="298"/>
      <c r="N277" s="298"/>
      <c r="O277" s="298"/>
      <c r="P277" s="298"/>
      <c r="Q277" s="298"/>
      <c r="R277" s="1"/>
      <c r="S277" s="1"/>
    </row>
    <row r="278" spans="1:19" ht="15.75" customHeight="1" x14ac:dyDescent="0.25">
      <c r="A278" s="115">
        <v>386</v>
      </c>
      <c r="B278" s="482" t="s">
        <v>74</v>
      </c>
      <c r="C278" s="440"/>
      <c r="D278" s="441"/>
      <c r="E278" s="261">
        <v>200</v>
      </c>
      <c r="F278" s="194">
        <v>4.32</v>
      </c>
      <c r="G278" s="194">
        <v>2.5</v>
      </c>
      <c r="H278" s="194">
        <v>9.8800000000000008</v>
      </c>
      <c r="I278" s="194">
        <v>81.95</v>
      </c>
      <c r="J278" s="194">
        <v>0</v>
      </c>
      <c r="K278" s="194">
        <v>0</v>
      </c>
      <c r="L278" s="194">
        <v>0</v>
      </c>
      <c r="M278" s="194">
        <v>0</v>
      </c>
      <c r="N278" s="194">
        <v>120.96</v>
      </c>
      <c r="O278" s="194">
        <v>0</v>
      </c>
      <c r="P278" s="194">
        <v>14.11</v>
      </c>
      <c r="Q278" s="194">
        <v>0.1</v>
      </c>
      <c r="R278" s="39"/>
      <c r="S278" s="39"/>
    </row>
    <row r="279" spans="1:19" ht="15.75" customHeight="1" x14ac:dyDescent="0.25">
      <c r="A279" s="106"/>
      <c r="B279" s="442" t="s">
        <v>52</v>
      </c>
      <c r="C279" s="472"/>
      <c r="D279" s="473"/>
      <c r="E279" s="32">
        <f>E278+20</f>
        <v>220</v>
      </c>
      <c r="F279" s="26">
        <f t="shared" ref="F279:Q279" si="47">SUM(F277:F278)</f>
        <v>4.32</v>
      </c>
      <c r="G279" s="26">
        <f t="shared" si="47"/>
        <v>2.5</v>
      </c>
      <c r="H279" s="26">
        <f t="shared" si="47"/>
        <v>9.8800000000000008</v>
      </c>
      <c r="I279" s="26">
        <f t="shared" si="47"/>
        <v>81.95</v>
      </c>
      <c r="J279" s="26">
        <f t="shared" si="47"/>
        <v>0</v>
      </c>
      <c r="K279" s="26">
        <f t="shared" si="47"/>
        <v>0</v>
      </c>
      <c r="L279" s="26">
        <f t="shared" si="47"/>
        <v>0</v>
      </c>
      <c r="M279" s="26">
        <f t="shared" si="47"/>
        <v>0</v>
      </c>
      <c r="N279" s="26">
        <f t="shared" si="47"/>
        <v>120.96</v>
      </c>
      <c r="O279" s="26">
        <f t="shared" si="47"/>
        <v>0</v>
      </c>
      <c r="P279" s="26">
        <f t="shared" si="47"/>
        <v>14.11</v>
      </c>
      <c r="Q279" s="26">
        <f t="shared" si="47"/>
        <v>0.1</v>
      </c>
      <c r="R279" s="17"/>
      <c r="S279" s="17"/>
    </row>
    <row r="280" spans="1:19" ht="15.75" customHeight="1" x14ac:dyDescent="0.25">
      <c r="A280" s="106"/>
      <c r="B280" s="436" t="s">
        <v>53</v>
      </c>
      <c r="C280" s="437"/>
      <c r="D280" s="438"/>
      <c r="E280" s="32">
        <v>8</v>
      </c>
      <c r="F280" s="22"/>
      <c r="G280" s="22"/>
      <c r="H280" s="22"/>
      <c r="I280" s="22"/>
      <c r="J280" s="22"/>
      <c r="K280" s="22"/>
      <c r="L280" s="22"/>
      <c r="M280" s="22"/>
      <c r="N280" s="22">
        <v>29.44</v>
      </c>
      <c r="O280" s="22"/>
      <c r="P280" s="22">
        <v>1.76</v>
      </c>
      <c r="Q280" s="22">
        <v>0.23</v>
      </c>
      <c r="R280" s="17"/>
      <c r="S280" s="17"/>
    </row>
    <row r="281" spans="1:19" ht="15.75" customHeight="1" x14ac:dyDescent="0.25">
      <c r="A281" s="106"/>
      <c r="B281" s="422" t="s">
        <v>134</v>
      </c>
      <c r="C281" s="423"/>
      <c r="D281" s="424"/>
      <c r="E281" s="27">
        <f t="shared" ref="E281:Q281" si="48">SUM(E249,E252,E263,E267,E275,E279)</f>
        <v>3322</v>
      </c>
      <c r="F281" s="22">
        <f t="shared" si="48"/>
        <v>127.38449999999997</v>
      </c>
      <c r="G281" s="22">
        <f t="shared" si="48"/>
        <v>113.066</v>
      </c>
      <c r="H281" s="22">
        <f t="shared" si="48"/>
        <v>505.75899999999996</v>
      </c>
      <c r="I281" s="22">
        <f t="shared" si="48"/>
        <v>3733.5389999999998</v>
      </c>
      <c r="J281" s="22">
        <f t="shared" si="48"/>
        <v>9.3000000000000013E-2</v>
      </c>
      <c r="K281" s="22">
        <f t="shared" si="48"/>
        <v>131.9965</v>
      </c>
      <c r="L281" s="22">
        <f t="shared" si="48"/>
        <v>0.92799999999999994</v>
      </c>
      <c r="M281" s="22">
        <f t="shared" si="48"/>
        <v>0.62</v>
      </c>
      <c r="N281" s="22">
        <f>SUM(N249,N252,N263,N267,N275,N279,N280)</f>
        <v>1083.6994999999999</v>
      </c>
      <c r="O281" s="42">
        <f t="shared" si="48"/>
        <v>342.05</v>
      </c>
      <c r="P281" s="22">
        <f t="shared" si="48"/>
        <v>611.577</v>
      </c>
      <c r="Q281" s="22">
        <f t="shared" si="48"/>
        <v>39.003000000000007</v>
      </c>
      <c r="R281" s="17"/>
      <c r="S281" s="17"/>
    </row>
    <row r="282" spans="1:19" ht="15.75" customHeight="1" x14ac:dyDescent="0.25">
      <c r="A282" s="4"/>
      <c r="B282" s="43"/>
      <c r="C282" s="43"/>
      <c r="D282" s="43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1"/>
      <c r="S282" s="1"/>
    </row>
    <row r="283" spans="1:19" ht="40.5" customHeight="1" x14ac:dyDescent="0.25">
      <c r="A283" s="523" t="s">
        <v>135</v>
      </c>
      <c r="B283" s="524"/>
      <c r="C283" s="524"/>
      <c r="D283" s="524"/>
      <c r="E283" s="524"/>
      <c r="F283" s="524"/>
      <c r="G283" s="524"/>
      <c r="H283" s="524"/>
      <c r="I283" s="524"/>
      <c r="J283" s="524"/>
      <c r="K283" s="524"/>
      <c r="L283" s="524"/>
      <c r="M283" s="524"/>
      <c r="N283" s="524"/>
      <c r="O283" s="524"/>
      <c r="P283" s="524"/>
      <c r="Q283" s="524"/>
      <c r="R283" s="525"/>
      <c r="S283" s="1"/>
    </row>
    <row r="284" spans="1:19" ht="31.5" customHeight="1" x14ac:dyDescent="0.25">
      <c r="A284" s="526" t="s">
        <v>3</v>
      </c>
      <c r="B284" s="528" t="s">
        <v>4</v>
      </c>
      <c r="C284" s="476"/>
      <c r="D284" s="477"/>
      <c r="E284" s="68" t="s">
        <v>5</v>
      </c>
      <c r="F284" s="530" t="s">
        <v>6</v>
      </c>
      <c r="G284" s="440"/>
      <c r="H284" s="441"/>
      <c r="I284" s="529" t="s">
        <v>7</v>
      </c>
      <c r="J284" s="530" t="s">
        <v>8</v>
      </c>
      <c r="K284" s="440"/>
      <c r="L284" s="440"/>
      <c r="M284" s="441"/>
      <c r="N284" s="530" t="s">
        <v>9</v>
      </c>
      <c r="O284" s="440"/>
      <c r="P284" s="440"/>
      <c r="Q284" s="441"/>
      <c r="R284" s="1"/>
      <c r="S284" s="1"/>
    </row>
    <row r="285" spans="1:19" ht="14.25" customHeight="1" x14ac:dyDescent="0.25">
      <c r="A285" s="527"/>
      <c r="B285" s="478"/>
      <c r="C285" s="479"/>
      <c r="D285" s="480"/>
      <c r="E285" s="69"/>
      <c r="F285" s="33" t="s">
        <v>10</v>
      </c>
      <c r="G285" s="33" t="s">
        <v>11</v>
      </c>
      <c r="H285" s="33" t="s">
        <v>12</v>
      </c>
      <c r="I285" s="527"/>
      <c r="J285" s="34" t="s">
        <v>13</v>
      </c>
      <c r="K285" s="34" t="s">
        <v>14</v>
      </c>
      <c r="L285" s="34" t="s">
        <v>15</v>
      </c>
      <c r="M285" s="35" t="s">
        <v>16</v>
      </c>
      <c r="N285" s="36" t="s">
        <v>17</v>
      </c>
      <c r="O285" s="34" t="s">
        <v>18</v>
      </c>
      <c r="P285" s="34" t="s">
        <v>19</v>
      </c>
      <c r="Q285" s="35" t="s">
        <v>20</v>
      </c>
      <c r="R285" s="1"/>
      <c r="S285" s="1"/>
    </row>
    <row r="286" spans="1:19" ht="15.75" customHeight="1" x14ac:dyDescent="0.25">
      <c r="A286" s="220">
        <v>1</v>
      </c>
      <c r="B286" s="532">
        <v>2</v>
      </c>
      <c r="C286" s="440"/>
      <c r="D286" s="441"/>
      <c r="E286" s="57">
        <v>3</v>
      </c>
      <c r="F286" s="57">
        <v>4</v>
      </c>
      <c r="G286" s="57">
        <v>5</v>
      </c>
      <c r="H286" s="57">
        <v>6</v>
      </c>
      <c r="I286" s="58">
        <v>7</v>
      </c>
      <c r="J286" s="57">
        <v>8</v>
      </c>
      <c r="K286" s="57">
        <v>9</v>
      </c>
      <c r="L286" s="57">
        <v>10</v>
      </c>
      <c r="M286" s="59">
        <v>11</v>
      </c>
      <c r="N286" s="57">
        <v>12</v>
      </c>
      <c r="O286" s="57">
        <v>13</v>
      </c>
      <c r="P286" s="57">
        <v>14</v>
      </c>
      <c r="Q286" s="60">
        <v>15</v>
      </c>
      <c r="R286" s="1"/>
      <c r="S286" s="1"/>
    </row>
    <row r="287" spans="1:19" ht="15.75" customHeight="1" x14ac:dyDescent="0.25">
      <c r="A287" s="201"/>
      <c r="B287" s="522" t="s">
        <v>21</v>
      </c>
      <c r="C287" s="446"/>
      <c r="D287" s="447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"/>
      <c r="S287" s="1"/>
    </row>
    <row r="288" spans="1:19" ht="15.75" customHeight="1" x14ac:dyDescent="0.25">
      <c r="A288" s="106">
        <v>3</v>
      </c>
      <c r="B288" s="439" t="s">
        <v>56</v>
      </c>
      <c r="C288" s="440"/>
      <c r="D288" s="441"/>
      <c r="E288" s="99" t="s">
        <v>23</v>
      </c>
      <c r="F288" s="117">
        <v>5.8</v>
      </c>
      <c r="G288" s="117">
        <v>8.3000000000000007</v>
      </c>
      <c r="H288" s="117">
        <v>14.83</v>
      </c>
      <c r="I288" s="117">
        <v>157</v>
      </c>
      <c r="J288" s="117">
        <v>0.04</v>
      </c>
      <c r="K288" s="117">
        <v>0.04</v>
      </c>
      <c r="L288" s="117">
        <v>0.03</v>
      </c>
      <c r="M288" s="117">
        <v>0.11</v>
      </c>
      <c r="N288" s="117">
        <v>139.19999999999999</v>
      </c>
      <c r="O288" s="117">
        <v>9.4499999999999993</v>
      </c>
      <c r="P288" s="117">
        <v>96</v>
      </c>
      <c r="Q288" s="117">
        <v>0.49</v>
      </c>
      <c r="R288" s="29"/>
      <c r="S288" s="29"/>
    </row>
    <row r="289" spans="1:19" ht="15" customHeight="1" x14ac:dyDescent="0.25">
      <c r="A289" s="470">
        <v>172</v>
      </c>
      <c r="B289" s="542" t="s">
        <v>136</v>
      </c>
      <c r="C289" s="476"/>
      <c r="D289" s="477"/>
      <c r="E289" s="106">
        <v>250</v>
      </c>
      <c r="F289" s="470">
        <f>6.74*(E289+E290)/(250+10)</f>
        <v>6.74</v>
      </c>
      <c r="G289" s="470">
        <f>7.98*(E289+E290)/(250+10)</f>
        <v>7.98</v>
      </c>
      <c r="H289" s="470">
        <f>33.91*(E289+E290)/(250+10)</f>
        <v>33.909999999999997</v>
      </c>
      <c r="I289" s="470">
        <f>233.75*(E289+E290)/(250+10)</f>
        <v>233.75</v>
      </c>
      <c r="J289" s="470">
        <v>0</v>
      </c>
      <c r="K289" s="470">
        <v>0</v>
      </c>
      <c r="L289" s="470">
        <v>0</v>
      </c>
      <c r="M289" s="470">
        <v>0</v>
      </c>
      <c r="N289" s="470">
        <f>130.63*(E289+E290)/(250+10)</f>
        <v>130.63</v>
      </c>
      <c r="O289" s="470">
        <v>0</v>
      </c>
      <c r="P289" s="470">
        <f>70.25*(E289+E290)/(250+10)</f>
        <v>70.25</v>
      </c>
      <c r="Q289" s="470">
        <f>1.93*(E289+E290)/(250+10)</f>
        <v>1.93</v>
      </c>
      <c r="R289" s="17"/>
      <c r="S289" s="17"/>
    </row>
    <row r="290" spans="1:19" ht="14.25" customHeight="1" x14ac:dyDescent="0.25">
      <c r="A290" s="471"/>
      <c r="B290" s="478"/>
      <c r="C290" s="479"/>
      <c r="D290" s="480"/>
      <c r="E290" s="106">
        <f>E289*4/100</f>
        <v>10</v>
      </c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Q290" s="471"/>
      <c r="R290" s="17"/>
      <c r="S290" s="17"/>
    </row>
    <row r="291" spans="1:19" ht="15.75" customHeight="1" x14ac:dyDescent="0.25">
      <c r="A291" s="106">
        <v>209</v>
      </c>
      <c r="B291" s="448" t="s">
        <v>25</v>
      </c>
      <c r="C291" s="440"/>
      <c r="D291" s="441"/>
      <c r="E291" s="106">
        <v>40</v>
      </c>
      <c r="F291" s="106">
        <v>5.0999999999999996</v>
      </c>
      <c r="G291" s="106">
        <v>4.5999999999999996</v>
      </c>
      <c r="H291" s="106">
        <v>0.3</v>
      </c>
      <c r="I291" s="106">
        <v>63</v>
      </c>
      <c r="J291" s="106"/>
      <c r="K291" s="106"/>
      <c r="L291" s="106"/>
      <c r="M291" s="106"/>
      <c r="N291" s="106">
        <v>22</v>
      </c>
      <c r="O291" s="106"/>
      <c r="P291" s="106">
        <v>4.8</v>
      </c>
      <c r="Q291" s="106">
        <v>1</v>
      </c>
      <c r="R291" s="29"/>
      <c r="S291" s="29"/>
    </row>
    <row r="292" spans="1:19" ht="15.75" customHeight="1" x14ac:dyDescent="0.25">
      <c r="A292" s="106">
        <v>377</v>
      </c>
      <c r="B292" s="448" t="s">
        <v>137</v>
      </c>
      <c r="C292" s="440"/>
      <c r="D292" s="441"/>
      <c r="E292" s="106" t="s">
        <v>138</v>
      </c>
      <c r="F292" s="106">
        <v>0.2</v>
      </c>
      <c r="G292" s="106">
        <v>0</v>
      </c>
      <c r="H292" s="106">
        <v>16</v>
      </c>
      <c r="I292" s="106">
        <v>65</v>
      </c>
      <c r="J292" s="106">
        <v>0</v>
      </c>
      <c r="K292" s="106">
        <v>0.03</v>
      </c>
      <c r="L292" s="106">
        <v>0</v>
      </c>
      <c r="M292" s="106">
        <v>0</v>
      </c>
      <c r="N292" s="106">
        <v>11.1</v>
      </c>
      <c r="O292" s="106">
        <v>0</v>
      </c>
      <c r="P292" s="106">
        <v>1.4</v>
      </c>
      <c r="Q292" s="106">
        <v>0.28000000000000003</v>
      </c>
      <c r="R292" s="29"/>
      <c r="S292" s="29"/>
    </row>
    <row r="293" spans="1:19" ht="15.75" customHeight="1" x14ac:dyDescent="0.25">
      <c r="A293" s="106"/>
      <c r="B293" s="41" t="s">
        <v>39</v>
      </c>
      <c r="C293" s="41"/>
      <c r="D293" s="41"/>
      <c r="E293" s="99">
        <v>40</v>
      </c>
      <c r="F293" s="117">
        <f>4.03*E293/50</f>
        <v>3.2240000000000002</v>
      </c>
      <c r="G293" s="117">
        <f>0.5*E293/50</f>
        <v>0.4</v>
      </c>
      <c r="H293" s="117">
        <f>22.36*E293/50</f>
        <v>17.887999999999998</v>
      </c>
      <c r="I293" s="117">
        <f>98.86*E293/50</f>
        <v>79.088000000000008</v>
      </c>
      <c r="J293" s="117">
        <v>0</v>
      </c>
      <c r="K293" s="117">
        <v>0</v>
      </c>
      <c r="L293" s="117">
        <v>0</v>
      </c>
      <c r="M293" s="117">
        <v>0</v>
      </c>
      <c r="N293" s="117">
        <f>17.59*E293/50</f>
        <v>14.072000000000001</v>
      </c>
      <c r="O293" s="117">
        <v>0</v>
      </c>
      <c r="P293" s="117">
        <f>1.89*E293/50</f>
        <v>1.5119999999999998</v>
      </c>
      <c r="Q293" s="117">
        <f>0.88*E293/50</f>
        <v>0.70400000000000007</v>
      </c>
      <c r="R293" s="17"/>
      <c r="S293" s="17"/>
    </row>
    <row r="294" spans="1:19" ht="15.75" customHeight="1" x14ac:dyDescent="0.25">
      <c r="A294" s="106"/>
      <c r="B294" s="439" t="s">
        <v>28</v>
      </c>
      <c r="C294" s="440"/>
      <c r="D294" s="441"/>
      <c r="E294" s="99">
        <v>45</v>
      </c>
      <c r="F294" s="117">
        <f>2.26*E294/30</f>
        <v>3.3899999999999997</v>
      </c>
      <c r="G294" s="117">
        <f>0.23*E294/30</f>
        <v>0.34499999999999997</v>
      </c>
      <c r="H294" s="117">
        <f>14.66*E294/30</f>
        <v>21.990000000000002</v>
      </c>
      <c r="I294" s="117">
        <f>68.86*E294/30</f>
        <v>103.28999999999999</v>
      </c>
      <c r="J294" s="117">
        <v>0</v>
      </c>
      <c r="K294" s="117">
        <v>0</v>
      </c>
      <c r="L294" s="117">
        <v>0</v>
      </c>
      <c r="M294" s="117">
        <v>0</v>
      </c>
      <c r="N294" s="117">
        <f>12.97*E294/30</f>
        <v>19.454999999999998</v>
      </c>
      <c r="O294" s="117">
        <v>0</v>
      </c>
      <c r="P294" s="117">
        <f>2.83*E294/30</f>
        <v>4.2450000000000001</v>
      </c>
      <c r="Q294" s="117">
        <f>0.74*E294/30</f>
        <v>1.1099999999999999</v>
      </c>
      <c r="R294" s="17"/>
      <c r="S294" s="17"/>
    </row>
    <row r="295" spans="1:19" ht="15.75" customHeight="1" x14ac:dyDescent="0.25">
      <c r="A295" s="106"/>
      <c r="B295" s="442" t="s">
        <v>29</v>
      </c>
      <c r="C295" s="472"/>
      <c r="D295" s="473"/>
      <c r="E295" s="99">
        <f>SUM(E288:E294)+200+15+7</f>
        <v>607</v>
      </c>
      <c r="F295" s="117">
        <f t="shared" ref="F295:Q295" si="49">SUM(F288:F294)</f>
        <v>24.454000000000001</v>
      </c>
      <c r="G295" s="117">
        <f t="shared" si="49"/>
        <v>21.625</v>
      </c>
      <c r="H295" s="117">
        <f t="shared" si="49"/>
        <v>104.91800000000001</v>
      </c>
      <c r="I295" s="117">
        <f t="shared" si="49"/>
        <v>701.12799999999993</v>
      </c>
      <c r="J295" s="132">
        <f t="shared" si="49"/>
        <v>0.04</v>
      </c>
      <c r="K295" s="132">
        <f t="shared" si="49"/>
        <v>7.0000000000000007E-2</v>
      </c>
      <c r="L295" s="117">
        <f t="shared" si="49"/>
        <v>0.03</v>
      </c>
      <c r="M295" s="117">
        <f t="shared" si="49"/>
        <v>0.11</v>
      </c>
      <c r="N295" s="117">
        <f t="shared" si="49"/>
        <v>336.45699999999999</v>
      </c>
      <c r="O295" s="117">
        <f t="shared" si="49"/>
        <v>9.4499999999999993</v>
      </c>
      <c r="P295" s="117">
        <f t="shared" si="49"/>
        <v>178.20700000000002</v>
      </c>
      <c r="Q295" s="117">
        <f t="shared" si="49"/>
        <v>5.5139999999999993</v>
      </c>
      <c r="R295" s="17"/>
      <c r="S295" s="17"/>
    </row>
    <row r="296" spans="1:19" ht="15.75" customHeight="1" x14ac:dyDescent="0.25">
      <c r="A296" s="201"/>
      <c r="B296" s="522" t="s">
        <v>30</v>
      </c>
      <c r="C296" s="446"/>
      <c r="D296" s="447"/>
      <c r="E296" s="106" t="s">
        <v>139</v>
      </c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"/>
      <c r="S296" s="1"/>
    </row>
    <row r="297" spans="1:19" ht="15.75" customHeight="1" x14ac:dyDescent="0.25">
      <c r="A297" s="106">
        <v>338</v>
      </c>
      <c r="B297" s="439" t="s">
        <v>31</v>
      </c>
      <c r="C297" s="440"/>
      <c r="D297" s="441"/>
      <c r="E297" s="133">
        <v>300</v>
      </c>
      <c r="F297" s="133">
        <v>4.5</v>
      </c>
      <c r="G297" s="134">
        <v>1.5</v>
      </c>
      <c r="H297" s="133">
        <v>27</v>
      </c>
      <c r="I297" s="133">
        <v>285</v>
      </c>
      <c r="J297" s="133">
        <v>0</v>
      </c>
      <c r="K297" s="133">
        <v>30</v>
      </c>
      <c r="L297" s="133">
        <v>0</v>
      </c>
      <c r="M297" s="133">
        <v>0</v>
      </c>
      <c r="N297" s="133">
        <v>24</v>
      </c>
      <c r="O297" s="133">
        <v>0</v>
      </c>
      <c r="P297" s="133">
        <v>126</v>
      </c>
      <c r="Q297" s="133">
        <v>2.1</v>
      </c>
      <c r="R297" s="29"/>
      <c r="S297" s="29"/>
    </row>
    <row r="298" spans="1:19" ht="15.75" customHeight="1" x14ac:dyDescent="0.25">
      <c r="A298" s="106"/>
      <c r="B298" s="442" t="s">
        <v>32</v>
      </c>
      <c r="C298" s="472"/>
      <c r="D298" s="473"/>
      <c r="E298" s="123">
        <f t="shared" ref="E298:N298" si="50">E297</f>
        <v>300</v>
      </c>
      <c r="F298" s="106">
        <f t="shared" si="50"/>
        <v>4.5</v>
      </c>
      <c r="G298" s="283">
        <f t="shared" si="50"/>
        <v>1.5</v>
      </c>
      <c r="H298" s="123">
        <f t="shared" si="50"/>
        <v>27</v>
      </c>
      <c r="I298" s="284">
        <f t="shared" si="50"/>
        <v>285</v>
      </c>
      <c r="J298" s="123">
        <f t="shared" si="50"/>
        <v>0</v>
      </c>
      <c r="K298" s="170">
        <f t="shared" si="50"/>
        <v>30</v>
      </c>
      <c r="L298" s="123">
        <f t="shared" si="50"/>
        <v>0</v>
      </c>
      <c r="M298" s="170">
        <f t="shared" si="50"/>
        <v>0</v>
      </c>
      <c r="N298" s="123">
        <f t="shared" si="50"/>
        <v>24</v>
      </c>
      <c r="O298" s="170">
        <f>SUM(O297)</f>
        <v>0</v>
      </c>
      <c r="P298" s="123">
        <f t="shared" ref="P298:Q298" si="51">P297</f>
        <v>126</v>
      </c>
      <c r="Q298" s="123">
        <f t="shared" si="51"/>
        <v>2.1</v>
      </c>
      <c r="R298" s="17"/>
      <c r="S298" s="17"/>
    </row>
    <row r="299" spans="1:19" ht="21" customHeight="1" x14ac:dyDescent="0.25">
      <c r="A299" s="201"/>
      <c r="B299" s="522" t="s">
        <v>33</v>
      </c>
      <c r="C299" s="446"/>
      <c r="D299" s="447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"/>
      <c r="S299" s="1"/>
    </row>
    <row r="300" spans="1:19" ht="15.75" customHeight="1" x14ac:dyDescent="0.25">
      <c r="A300" s="115">
        <v>71</v>
      </c>
      <c r="B300" s="448" t="s">
        <v>140</v>
      </c>
      <c r="C300" s="440"/>
      <c r="D300" s="441"/>
      <c r="E300" s="95">
        <v>100</v>
      </c>
      <c r="F300" s="129">
        <f>0.8*E300/100</f>
        <v>0.8</v>
      </c>
      <c r="G300" s="129">
        <f>0*E300/100</f>
        <v>0</v>
      </c>
      <c r="H300" s="129">
        <f>3.4*E300/100</f>
        <v>3.4</v>
      </c>
      <c r="I300" s="129">
        <f>16.8*E300/100</f>
        <v>16.8</v>
      </c>
      <c r="J300" s="129" t="s">
        <v>35</v>
      </c>
      <c r="K300" s="129">
        <f>10*E300/100</f>
        <v>10</v>
      </c>
      <c r="L300" s="129">
        <f>0*E300/100</f>
        <v>0</v>
      </c>
      <c r="M300" s="129">
        <f>0*E300/100</f>
        <v>0</v>
      </c>
      <c r="N300" s="129">
        <f>23*E300/100</f>
        <v>23</v>
      </c>
      <c r="O300" s="129">
        <f>0*E300/100</f>
        <v>0</v>
      </c>
      <c r="P300" s="129">
        <f>13*E300/100</f>
        <v>13</v>
      </c>
      <c r="Q300" s="129">
        <f>0.6*E300/100</f>
        <v>0.6</v>
      </c>
      <c r="R300" s="56"/>
      <c r="S300" s="29"/>
    </row>
    <row r="301" spans="1:19" ht="14.25" customHeight="1" x14ac:dyDescent="0.25">
      <c r="A301" s="546">
        <v>96</v>
      </c>
      <c r="B301" s="542" t="s">
        <v>141</v>
      </c>
      <c r="C301" s="476"/>
      <c r="D301" s="477"/>
      <c r="E301" s="128">
        <v>300</v>
      </c>
      <c r="F301" s="547">
        <v>3.93</v>
      </c>
      <c r="G301" s="547">
        <v>5.66</v>
      </c>
      <c r="H301" s="549">
        <v>26.08</v>
      </c>
      <c r="I301" s="547">
        <v>170.94</v>
      </c>
      <c r="J301" s="547">
        <v>0.14000000000000001</v>
      </c>
      <c r="K301" s="547">
        <v>45.63</v>
      </c>
      <c r="L301" s="547">
        <v>0</v>
      </c>
      <c r="M301" s="547">
        <v>0</v>
      </c>
      <c r="N301" s="547">
        <v>44.88</v>
      </c>
      <c r="O301" s="547">
        <v>114.05</v>
      </c>
      <c r="P301" s="547">
        <v>41.06</v>
      </c>
      <c r="Q301" s="547">
        <v>1.85</v>
      </c>
      <c r="R301" s="18"/>
      <c r="S301" s="18"/>
    </row>
    <row r="302" spans="1:19" ht="12.75" customHeight="1" x14ac:dyDescent="0.25">
      <c r="A302" s="471"/>
      <c r="B302" s="478"/>
      <c r="C302" s="479"/>
      <c r="D302" s="480"/>
      <c r="E302" s="161">
        <v>10</v>
      </c>
      <c r="F302" s="471"/>
      <c r="G302" s="471"/>
      <c r="H302" s="550"/>
      <c r="I302" s="471"/>
      <c r="J302" s="471"/>
      <c r="K302" s="471"/>
      <c r="L302" s="471"/>
      <c r="M302" s="471"/>
      <c r="N302" s="471"/>
      <c r="O302" s="471"/>
      <c r="P302" s="471"/>
      <c r="Q302" s="471"/>
      <c r="R302" s="18"/>
      <c r="S302" s="18"/>
    </row>
    <row r="303" spans="1:19" ht="14.25" customHeight="1" x14ac:dyDescent="0.25">
      <c r="A303" s="560" t="s">
        <v>89</v>
      </c>
      <c r="B303" s="594" t="s">
        <v>142</v>
      </c>
      <c r="C303" s="476"/>
      <c r="D303" s="477"/>
      <c r="E303" s="560">
        <v>120</v>
      </c>
      <c r="F303" s="560">
        <f>15.4*(E303+E304)/(100+50)</f>
        <v>12.32</v>
      </c>
      <c r="G303" s="560">
        <f>12.1*(E303+E304)/(100+50)</f>
        <v>9.68</v>
      </c>
      <c r="H303" s="560">
        <f>26.9*(E303+E304)/(100+50)</f>
        <v>21.52</v>
      </c>
      <c r="I303" s="560">
        <f>278.1*(E303+E304)/(100+50)</f>
        <v>222.48</v>
      </c>
      <c r="J303" s="560">
        <v>0</v>
      </c>
      <c r="K303" s="560">
        <f>2.5*(E303+E304)/(100+50)</f>
        <v>2</v>
      </c>
      <c r="L303" s="560">
        <v>0</v>
      </c>
      <c r="M303" s="560">
        <v>0</v>
      </c>
      <c r="N303" s="560">
        <f>15.3*(E303+E304)/(100+50)</f>
        <v>12.24</v>
      </c>
      <c r="O303" s="560">
        <f>23*(E303+E304)/(100+50)</f>
        <v>18.399999999999999</v>
      </c>
      <c r="P303" s="560">
        <f>23*(E303+E304)/(100+50)</f>
        <v>18.399999999999999</v>
      </c>
      <c r="Q303" s="560">
        <f>3*(E303+E304)/(100+50)</f>
        <v>2.4</v>
      </c>
      <c r="R303" s="39"/>
      <c r="S303" s="39"/>
    </row>
    <row r="304" spans="1:19" ht="15.75" customHeight="1" x14ac:dyDescent="0.25">
      <c r="A304" s="471"/>
      <c r="B304" s="478"/>
      <c r="C304" s="479"/>
      <c r="D304" s="480"/>
      <c r="E304" s="471"/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Q304" s="471"/>
      <c r="R304" s="29"/>
      <c r="S304" s="29"/>
    </row>
    <row r="305" spans="1:19" ht="15.75" customHeight="1" x14ac:dyDescent="0.25">
      <c r="A305" s="226">
        <v>824</v>
      </c>
      <c r="B305" s="595" t="s">
        <v>143</v>
      </c>
      <c r="C305" s="440"/>
      <c r="D305" s="441"/>
      <c r="E305" s="281">
        <v>50</v>
      </c>
      <c r="F305" s="226">
        <v>2.2400000000000002</v>
      </c>
      <c r="G305" s="226">
        <v>3.39</v>
      </c>
      <c r="H305" s="226">
        <v>5.89</v>
      </c>
      <c r="I305" s="226">
        <v>58.78</v>
      </c>
      <c r="J305" s="285">
        <v>0</v>
      </c>
      <c r="K305" s="285">
        <v>0.2</v>
      </c>
      <c r="L305" s="285">
        <v>0</v>
      </c>
      <c r="M305" s="285">
        <v>0</v>
      </c>
      <c r="N305" s="285">
        <v>1.85</v>
      </c>
      <c r="O305" s="285">
        <v>0</v>
      </c>
      <c r="P305" s="285">
        <v>3.12</v>
      </c>
      <c r="Q305" s="285">
        <v>0.45</v>
      </c>
      <c r="R305" s="29"/>
      <c r="S305" s="29"/>
    </row>
    <row r="306" spans="1:19" ht="15.75" customHeight="1" x14ac:dyDescent="0.25">
      <c r="A306" s="203">
        <v>302</v>
      </c>
      <c r="B306" s="433" t="s">
        <v>144</v>
      </c>
      <c r="C306" s="596"/>
      <c r="D306" s="597"/>
      <c r="E306" s="115">
        <v>200</v>
      </c>
      <c r="F306" s="115">
        <f>8.6*E306/200</f>
        <v>8.6</v>
      </c>
      <c r="G306" s="115">
        <f>7.2*E306/200</f>
        <v>7.2</v>
      </c>
      <c r="H306" s="115">
        <f>47.6*E306/200</f>
        <v>47.6</v>
      </c>
      <c r="I306" s="115">
        <f>289.6*E306/200</f>
        <v>289.60000000000002</v>
      </c>
      <c r="J306" s="115"/>
      <c r="K306" s="115">
        <v>0</v>
      </c>
      <c r="L306" s="115">
        <v>0</v>
      </c>
      <c r="M306" s="115"/>
      <c r="N306" s="115">
        <f>14.64*E306/200</f>
        <v>14.64</v>
      </c>
      <c r="O306" s="115">
        <v>0</v>
      </c>
      <c r="P306" s="115">
        <f>40.45*E306/200</f>
        <v>40.450000000000003</v>
      </c>
      <c r="Q306" s="115">
        <f>3.41*E306/200</f>
        <v>3.41</v>
      </c>
      <c r="R306" s="17"/>
      <c r="S306" s="17"/>
    </row>
    <row r="307" spans="1:19" ht="15.75" customHeight="1" x14ac:dyDescent="0.25">
      <c r="A307" s="106">
        <v>342</v>
      </c>
      <c r="B307" s="41" t="s">
        <v>38</v>
      </c>
      <c r="C307" s="41"/>
      <c r="D307" s="41"/>
      <c r="E307" s="100">
        <v>200</v>
      </c>
      <c r="F307" s="117">
        <v>0.08</v>
      </c>
      <c r="G307" s="117">
        <v>0</v>
      </c>
      <c r="H307" s="117">
        <v>21.82</v>
      </c>
      <c r="I307" s="117">
        <v>87.6</v>
      </c>
      <c r="J307" s="117">
        <v>0</v>
      </c>
      <c r="K307" s="117">
        <v>2.25</v>
      </c>
      <c r="L307" s="117">
        <v>0</v>
      </c>
      <c r="M307" s="117">
        <v>0</v>
      </c>
      <c r="N307" s="117">
        <v>17</v>
      </c>
      <c r="O307" s="117">
        <v>0</v>
      </c>
      <c r="P307" s="117">
        <v>9</v>
      </c>
      <c r="Q307" s="117">
        <v>2.2000000000000002</v>
      </c>
      <c r="R307" s="29"/>
      <c r="S307" s="29"/>
    </row>
    <row r="308" spans="1:19" ht="15.75" customHeight="1" x14ac:dyDescent="0.25">
      <c r="A308" s="106" t="s">
        <v>27</v>
      </c>
      <c r="B308" s="41" t="s">
        <v>39</v>
      </c>
      <c r="C308" s="41"/>
      <c r="D308" s="41"/>
      <c r="E308" s="99">
        <v>120</v>
      </c>
      <c r="F308" s="117">
        <f>4.03*E308/50</f>
        <v>9.6720000000000006</v>
      </c>
      <c r="G308" s="117">
        <f>0.5*E308/50</f>
        <v>1.2</v>
      </c>
      <c r="H308" s="117">
        <f>22.36*E308/50</f>
        <v>53.663999999999994</v>
      </c>
      <c r="I308" s="117">
        <f>98.86*E308/50</f>
        <v>237.26400000000001</v>
      </c>
      <c r="J308" s="117">
        <v>0</v>
      </c>
      <c r="K308" s="117">
        <v>0</v>
      </c>
      <c r="L308" s="117">
        <v>0</v>
      </c>
      <c r="M308" s="117">
        <v>0</v>
      </c>
      <c r="N308" s="117">
        <f>17.59*E308/50</f>
        <v>42.216000000000001</v>
      </c>
      <c r="O308" s="117">
        <v>0</v>
      </c>
      <c r="P308" s="117">
        <f>1.89*E308/50</f>
        <v>4.5359999999999996</v>
      </c>
      <c r="Q308" s="117">
        <f>0.88*E308/50</f>
        <v>2.1120000000000001</v>
      </c>
      <c r="R308" s="17"/>
      <c r="S308" s="17"/>
    </row>
    <row r="309" spans="1:19" ht="15.75" customHeight="1" x14ac:dyDescent="0.25">
      <c r="A309" s="106" t="s">
        <v>27</v>
      </c>
      <c r="B309" s="439" t="s">
        <v>28</v>
      </c>
      <c r="C309" s="440"/>
      <c r="D309" s="441"/>
      <c r="E309" s="99">
        <v>45</v>
      </c>
      <c r="F309" s="117">
        <f>2.26*E309/30</f>
        <v>3.3899999999999997</v>
      </c>
      <c r="G309" s="117">
        <f>0.23*E309/30</f>
        <v>0.34499999999999997</v>
      </c>
      <c r="H309" s="117">
        <f>14.66*E309/30</f>
        <v>21.990000000000002</v>
      </c>
      <c r="I309" s="117">
        <f>68.86*E309/30</f>
        <v>103.28999999999999</v>
      </c>
      <c r="J309" s="117">
        <v>0</v>
      </c>
      <c r="K309" s="117">
        <v>0</v>
      </c>
      <c r="L309" s="117">
        <v>0</v>
      </c>
      <c r="M309" s="117">
        <v>0</v>
      </c>
      <c r="N309" s="117">
        <f>12.97*E309/30</f>
        <v>19.454999999999998</v>
      </c>
      <c r="O309" s="117">
        <v>0</v>
      </c>
      <c r="P309" s="117">
        <f>2.83*E309/30</f>
        <v>4.2450000000000001</v>
      </c>
      <c r="Q309" s="117">
        <f>0.74*E309/30</f>
        <v>1.1099999999999999</v>
      </c>
      <c r="R309" s="17"/>
      <c r="S309" s="17"/>
    </row>
    <row r="310" spans="1:19" ht="15.75" customHeight="1" x14ac:dyDescent="0.25">
      <c r="A310" s="106"/>
      <c r="B310" s="442" t="s">
        <v>65</v>
      </c>
      <c r="C310" s="472"/>
      <c r="D310" s="473"/>
      <c r="E310" s="100">
        <f t="shared" ref="E310:Q310" si="52">SUM(E300:E309)</f>
        <v>1145</v>
      </c>
      <c r="F310" s="117">
        <f t="shared" si="52"/>
        <v>41.031999999999996</v>
      </c>
      <c r="G310" s="117">
        <f t="shared" si="52"/>
        <v>27.474999999999998</v>
      </c>
      <c r="H310" s="117">
        <f t="shared" si="52"/>
        <v>201.964</v>
      </c>
      <c r="I310" s="117">
        <f t="shared" si="52"/>
        <v>1186.7539999999999</v>
      </c>
      <c r="J310" s="117">
        <f t="shared" si="52"/>
        <v>0.14000000000000001</v>
      </c>
      <c r="K310" s="117">
        <f t="shared" si="52"/>
        <v>60.080000000000005</v>
      </c>
      <c r="L310" s="117">
        <f t="shared" si="52"/>
        <v>0</v>
      </c>
      <c r="M310" s="117">
        <f t="shared" si="52"/>
        <v>0</v>
      </c>
      <c r="N310" s="117">
        <f t="shared" si="52"/>
        <v>175.28100000000001</v>
      </c>
      <c r="O310" s="117">
        <f t="shared" si="52"/>
        <v>132.44999999999999</v>
      </c>
      <c r="P310" s="117">
        <f t="shared" si="52"/>
        <v>133.81100000000001</v>
      </c>
      <c r="Q310" s="117">
        <f t="shared" si="52"/>
        <v>14.132</v>
      </c>
      <c r="R310" s="17"/>
      <c r="S310" s="17"/>
    </row>
    <row r="311" spans="1:19" ht="16.5" customHeight="1" x14ac:dyDescent="0.25">
      <c r="A311" s="201"/>
      <c r="B311" s="445" t="s">
        <v>41</v>
      </c>
      <c r="C311" s="446"/>
      <c r="D311" s="447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"/>
      <c r="S311" s="1"/>
    </row>
    <row r="312" spans="1:19" ht="15.75" customHeight="1" x14ac:dyDescent="0.25">
      <c r="A312" s="106" t="s">
        <v>27</v>
      </c>
      <c r="B312" s="439" t="s">
        <v>105</v>
      </c>
      <c r="C312" s="440"/>
      <c r="D312" s="441"/>
      <c r="E312" s="122">
        <v>50</v>
      </c>
      <c r="F312" s="106">
        <v>1.25</v>
      </c>
      <c r="G312" s="106">
        <v>1.48</v>
      </c>
      <c r="H312" s="106">
        <v>34.89</v>
      </c>
      <c r="I312" s="106">
        <v>160.75</v>
      </c>
      <c r="J312" s="106">
        <v>0</v>
      </c>
      <c r="K312" s="106">
        <v>0.1</v>
      </c>
      <c r="L312" s="106">
        <v>0</v>
      </c>
      <c r="M312" s="106">
        <v>0</v>
      </c>
      <c r="N312" s="106">
        <v>6.8</v>
      </c>
      <c r="O312" s="106">
        <v>0</v>
      </c>
      <c r="P312" s="106">
        <v>4.53</v>
      </c>
      <c r="Q312" s="106">
        <v>0.9</v>
      </c>
      <c r="R312" s="29"/>
      <c r="S312" s="29"/>
    </row>
    <row r="313" spans="1:19" ht="15.75" customHeight="1" x14ac:dyDescent="0.25">
      <c r="A313" s="115">
        <v>379</v>
      </c>
      <c r="B313" s="439" t="s">
        <v>26</v>
      </c>
      <c r="C313" s="440"/>
      <c r="D313" s="441"/>
      <c r="E313" s="115">
        <v>200</v>
      </c>
      <c r="F313" s="115">
        <v>3.58</v>
      </c>
      <c r="G313" s="115">
        <v>2.68</v>
      </c>
      <c r="H313" s="115">
        <v>28.34</v>
      </c>
      <c r="I313" s="115">
        <v>151.80000000000001</v>
      </c>
      <c r="J313" s="115">
        <v>0.02</v>
      </c>
      <c r="K313" s="115">
        <v>0.04</v>
      </c>
      <c r="L313" s="115">
        <v>0.1</v>
      </c>
      <c r="M313" s="115">
        <v>1.3</v>
      </c>
      <c r="N313" s="115">
        <v>125.78</v>
      </c>
      <c r="O313" s="115">
        <v>0</v>
      </c>
      <c r="P313" s="115">
        <v>14</v>
      </c>
      <c r="Q313" s="115">
        <v>0.13</v>
      </c>
      <c r="R313" s="29"/>
      <c r="S313" s="29"/>
    </row>
    <row r="314" spans="1:19" ht="15.75" customHeight="1" x14ac:dyDescent="0.25">
      <c r="A314" s="106"/>
      <c r="B314" s="442" t="s">
        <v>86</v>
      </c>
      <c r="C314" s="472"/>
      <c r="D314" s="473"/>
      <c r="E314" s="106">
        <f t="shared" ref="E314:Q314" si="53">SUM(E312:E313)</f>
        <v>250</v>
      </c>
      <c r="F314" s="132">
        <f t="shared" si="53"/>
        <v>4.83</v>
      </c>
      <c r="G314" s="132">
        <f t="shared" si="53"/>
        <v>4.16</v>
      </c>
      <c r="H314" s="132">
        <f t="shared" si="53"/>
        <v>63.230000000000004</v>
      </c>
      <c r="I314" s="132">
        <f t="shared" si="53"/>
        <v>312.55</v>
      </c>
      <c r="J314" s="132">
        <f t="shared" si="53"/>
        <v>0.02</v>
      </c>
      <c r="K314" s="132">
        <f t="shared" si="53"/>
        <v>0.14000000000000001</v>
      </c>
      <c r="L314" s="132">
        <f t="shared" si="53"/>
        <v>0.1</v>
      </c>
      <c r="M314" s="132">
        <f t="shared" si="53"/>
        <v>1.3</v>
      </c>
      <c r="N314" s="132">
        <f t="shared" si="53"/>
        <v>132.58000000000001</v>
      </c>
      <c r="O314" s="132">
        <f t="shared" si="53"/>
        <v>0</v>
      </c>
      <c r="P314" s="132">
        <f t="shared" si="53"/>
        <v>18.53</v>
      </c>
      <c r="Q314" s="132">
        <f t="shared" si="53"/>
        <v>1.03</v>
      </c>
      <c r="R314" s="17"/>
      <c r="S314" s="17"/>
    </row>
    <row r="315" spans="1:19" ht="15.75" customHeight="1" x14ac:dyDescent="0.25">
      <c r="A315" s="201"/>
      <c r="B315" s="522" t="s">
        <v>145</v>
      </c>
      <c r="C315" s="446"/>
      <c r="D315" s="447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"/>
      <c r="S315" s="1"/>
    </row>
    <row r="316" spans="1:19" ht="15.75" customHeight="1" x14ac:dyDescent="0.25">
      <c r="A316" s="106">
        <v>71</v>
      </c>
      <c r="B316" s="439" t="s">
        <v>113</v>
      </c>
      <c r="C316" s="440"/>
      <c r="D316" s="441"/>
      <c r="E316" s="100">
        <v>100</v>
      </c>
      <c r="F316" s="117">
        <f>1.2*E316/100</f>
        <v>1.2</v>
      </c>
      <c r="G316" s="117">
        <f>0*E316/100</f>
        <v>0</v>
      </c>
      <c r="H316" s="117">
        <f>4.6*E316/100</f>
        <v>4.5999999999999996</v>
      </c>
      <c r="I316" s="117">
        <f>23.2*E316/100</f>
        <v>23.2</v>
      </c>
      <c r="J316" s="117">
        <f>0*E316/100</f>
        <v>0</v>
      </c>
      <c r="K316" s="117">
        <f>25*E316/100</f>
        <v>25</v>
      </c>
      <c r="L316" s="117">
        <v>0</v>
      </c>
      <c r="M316" s="117">
        <v>0</v>
      </c>
      <c r="N316" s="117">
        <f>14*E316/100</f>
        <v>14</v>
      </c>
      <c r="O316" s="117">
        <v>0</v>
      </c>
      <c r="P316" s="117">
        <f>9.34*E316/100</f>
        <v>9.34</v>
      </c>
      <c r="Q316" s="117">
        <f>0.9*E316/100</f>
        <v>0.9</v>
      </c>
      <c r="R316" s="17"/>
      <c r="S316" s="17"/>
    </row>
    <row r="317" spans="1:19" ht="14.25" customHeight="1" x14ac:dyDescent="0.25">
      <c r="A317" s="470" t="s">
        <v>146</v>
      </c>
      <c r="B317" s="542" t="s">
        <v>147</v>
      </c>
      <c r="C317" s="476"/>
      <c r="D317" s="477"/>
      <c r="E317" s="122">
        <v>120</v>
      </c>
      <c r="F317" s="504">
        <f>15.28*(E317+E318)/(100+50)</f>
        <v>18.336000000000002</v>
      </c>
      <c r="G317" s="470">
        <f>12.3*(E317+E318)/(100+50)</f>
        <v>14.76</v>
      </c>
      <c r="H317" s="470">
        <f>15.6*(E317+E318)/(100+50)</f>
        <v>18.72</v>
      </c>
      <c r="I317" s="470">
        <f>234.22*(E317+E318)/(100+50)</f>
        <v>281.06399999999996</v>
      </c>
      <c r="J317" s="470">
        <v>0</v>
      </c>
      <c r="K317" s="470">
        <f>2.4*(E317+E318)/(100+50)</f>
        <v>2.88</v>
      </c>
      <c r="L317" s="470">
        <v>0</v>
      </c>
      <c r="M317" s="470">
        <v>0</v>
      </c>
      <c r="N317" s="470">
        <f>19.54*(E317+E318)/(100+50)</f>
        <v>23.448</v>
      </c>
      <c r="O317" s="470">
        <v>0</v>
      </c>
      <c r="P317" s="470">
        <f>48.9*(E317+E318)/(100+50)</f>
        <v>58.68</v>
      </c>
      <c r="Q317" s="470">
        <f>1.02*(E317+E318)/(100+50)</f>
        <v>1.224</v>
      </c>
      <c r="R317" s="17"/>
      <c r="S317" s="17"/>
    </row>
    <row r="318" spans="1:19" ht="15" customHeight="1" x14ac:dyDescent="0.25">
      <c r="A318" s="471"/>
      <c r="B318" s="478"/>
      <c r="C318" s="479"/>
      <c r="D318" s="480"/>
      <c r="E318" s="208">
        <f>E317/2</f>
        <v>60</v>
      </c>
      <c r="F318" s="505"/>
      <c r="G318" s="471"/>
      <c r="H318" s="471"/>
      <c r="I318" s="471"/>
      <c r="J318" s="471"/>
      <c r="K318" s="471"/>
      <c r="L318" s="471"/>
      <c r="M318" s="471"/>
      <c r="N318" s="471"/>
      <c r="O318" s="471"/>
      <c r="P318" s="471"/>
      <c r="Q318" s="471"/>
      <c r="R318" s="17"/>
      <c r="S318" s="17"/>
    </row>
    <row r="319" spans="1:19" ht="13.5" customHeight="1" x14ac:dyDescent="0.25">
      <c r="A319" s="723">
        <v>310</v>
      </c>
      <c r="B319" s="628" t="s">
        <v>148</v>
      </c>
      <c r="C319" s="724"/>
      <c r="D319" s="725"/>
      <c r="E319" s="208">
        <v>220</v>
      </c>
      <c r="F319" s="561">
        <v>3.9</v>
      </c>
      <c r="G319" s="561">
        <v>10.45</v>
      </c>
      <c r="H319" s="561">
        <v>27.46</v>
      </c>
      <c r="I319" s="561">
        <v>231</v>
      </c>
      <c r="J319" s="561">
        <v>0</v>
      </c>
      <c r="K319" s="561">
        <f>28*E319/200</f>
        <v>30.8</v>
      </c>
      <c r="L319" s="561">
        <v>0</v>
      </c>
      <c r="M319" s="561">
        <v>0</v>
      </c>
      <c r="N319" s="561">
        <f>19.52*E319/200</f>
        <v>21.471999999999998</v>
      </c>
      <c r="O319" s="561">
        <v>0</v>
      </c>
      <c r="P319" s="561">
        <f>39.1*E319/200</f>
        <v>43.01</v>
      </c>
      <c r="Q319" s="561">
        <f>1.54*E319/200</f>
        <v>1.694</v>
      </c>
      <c r="R319" s="17"/>
      <c r="S319" s="17"/>
    </row>
    <row r="320" spans="1:19" ht="11.25" customHeight="1" x14ac:dyDescent="0.25">
      <c r="A320" s="471"/>
      <c r="B320" s="726"/>
      <c r="C320" s="727"/>
      <c r="D320" s="728"/>
      <c r="E320" s="99">
        <v>7</v>
      </c>
      <c r="F320" s="471"/>
      <c r="G320" s="471"/>
      <c r="H320" s="471"/>
      <c r="I320" s="471"/>
      <c r="J320" s="471"/>
      <c r="K320" s="471"/>
      <c r="L320" s="471"/>
      <c r="M320" s="471"/>
      <c r="N320" s="471"/>
      <c r="O320" s="471"/>
      <c r="P320" s="471"/>
      <c r="Q320" s="471"/>
      <c r="R320" s="17"/>
      <c r="S320" s="17"/>
    </row>
    <row r="321" spans="1:19" ht="15.75" customHeight="1" x14ac:dyDescent="0.25">
      <c r="A321" s="106" t="s">
        <v>27</v>
      </c>
      <c r="B321" s="467" t="s">
        <v>39</v>
      </c>
      <c r="C321" s="468"/>
      <c r="D321" s="469"/>
      <c r="E321" s="99">
        <v>75</v>
      </c>
      <c r="F321" s="117">
        <f>4.03*E321/50</f>
        <v>6.0449999999999999</v>
      </c>
      <c r="G321" s="117">
        <f>0.5*E321/50</f>
        <v>0.75</v>
      </c>
      <c r="H321" s="117">
        <f>22.36*E321/50</f>
        <v>33.54</v>
      </c>
      <c r="I321" s="117">
        <f>98.86*E321/50</f>
        <v>148.29</v>
      </c>
      <c r="J321" s="117">
        <v>0</v>
      </c>
      <c r="K321" s="117">
        <v>0</v>
      </c>
      <c r="L321" s="117">
        <v>0</v>
      </c>
      <c r="M321" s="117">
        <v>0</v>
      </c>
      <c r="N321" s="117">
        <f>17.59*E321/50</f>
        <v>26.385000000000002</v>
      </c>
      <c r="O321" s="117">
        <v>0</v>
      </c>
      <c r="P321" s="117">
        <f>1.89*E321/50</f>
        <v>2.835</v>
      </c>
      <c r="Q321" s="117">
        <f>0.88*E321/50</f>
        <v>1.32</v>
      </c>
      <c r="R321" s="17"/>
      <c r="S321" s="17"/>
    </row>
    <row r="322" spans="1:19" ht="15.75" customHeight="1" x14ac:dyDescent="0.25">
      <c r="A322" s="106" t="s">
        <v>27</v>
      </c>
      <c r="B322" s="439" t="s">
        <v>28</v>
      </c>
      <c r="C322" s="440"/>
      <c r="D322" s="441"/>
      <c r="E322" s="99">
        <v>45</v>
      </c>
      <c r="F322" s="117">
        <f>2.26*E322/30</f>
        <v>3.3899999999999997</v>
      </c>
      <c r="G322" s="117">
        <f>0.23*E322/30</f>
        <v>0.34499999999999997</v>
      </c>
      <c r="H322" s="117">
        <f>14.66*E322/30</f>
        <v>21.990000000000002</v>
      </c>
      <c r="I322" s="117">
        <f>68.86*E322/30</f>
        <v>103.28999999999999</v>
      </c>
      <c r="J322" s="117">
        <v>0</v>
      </c>
      <c r="K322" s="117">
        <v>0</v>
      </c>
      <c r="L322" s="117">
        <v>0</v>
      </c>
      <c r="M322" s="117">
        <v>0</v>
      </c>
      <c r="N322" s="117">
        <f>12.97*E322/30</f>
        <v>19.454999999999998</v>
      </c>
      <c r="O322" s="117">
        <v>0</v>
      </c>
      <c r="P322" s="117">
        <f>2.83*E322/30</f>
        <v>4.2450000000000001</v>
      </c>
      <c r="Q322" s="117">
        <f>0.74*E322/30</f>
        <v>1.1099999999999999</v>
      </c>
      <c r="R322" s="17"/>
      <c r="S322" s="17"/>
    </row>
    <row r="323" spans="1:19" ht="15.75" customHeight="1" x14ac:dyDescent="0.25">
      <c r="A323" s="122">
        <v>389</v>
      </c>
      <c r="B323" s="448" t="s">
        <v>92</v>
      </c>
      <c r="C323" s="440"/>
      <c r="D323" s="441"/>
      <c r="E323" s="95">
        <v>200</v>
      </c>
      <c r="F323" s="194">
        <v>1</v>
      </c>
      <c r="G323" s="194">
        <v>0</v>
      </c>
      <c r="H323" s="194">
        <v>20.2</v>
      </c>
      <c r="I323" s="194">
        <v>84.8</v>
      </c>
      <c r="J323" s="194">
        <v>0</v>
      </c>
      <c r="K323" s="194">
        <v>4</v>
      </c>
      <c r="L323" s="194">
        <v>0</v>
      </c>
      <c r="M323" s="194">
        <v>0</v>
      </c>
      <c r="N323" s="194">
        <v>14</v>
      </c>
      <c r="O323" s="194">
        <v>0</v>
      </c>
      <c r="P323" s="194">
        <v>8</v>
      </c>
      <c r="Q323" s="194">
        <v>2.8</v>
      </c>
      <c r="R323" s="29"/>
      <c r="S323" s="29"/>
    </row>
    <row r="324" spans="1:19" ht="15.75" customHeight="1" x14ac:dyDescent="0.25">
      <c r="A324" s="106"/>
      <c r="B324" s="442" t="s">
        <v>48</v>
      </c>
      <c r="C324" s="443"/>
      <c r="D324" s="444"/>
      <c r="E324" s="100">
        <f t="shared" ref="E324:Q324" si="54">SUM(E316:E323)</f>
        <v>827</v>
      </c>
      <c r="F324" s="117">
        <f t="shared" si="54"/>
        <v>33.871000000000002</v>
      </c>
      <c r="G324" s="117">
        <f t="shared" si="54"/>
        <v>26.305</v>
      </c>
      <c r="H324" s="117">
        <f t="shared" si="54"/>
        <v>126.51</v>
      </c>
      <c r="I324" s="117">
        <f t="shared" si="54"/>
        <v>871.64399999999978</v>
      </c>
      <c r="J324" s="132">
        <f t="shared" si="54"/>
        <v>0</v>
      </c>
      <c r="K324" s="132">
        <f t="shared" si="54"/>
        <v>62.68</v>
      </c>
      <c r="L324" s="117">
        <f t="shared" si="54"/>
        <v>0</v>
      </c>
      <c r="M324" s="117">
        <f t="shared" si="54"/>
        <v>0</v>
      </c>
      <c r="N324" s="117">
        <f t="shared" si="54"/>
        <v>118.76</v>
      </c>
      <c r="O324" s="117">
        <f t="shared" si="54"/>
        <v>0</v>
      </c>
      <c r="P324" s="117">
        <f t="shared" si="54"/>
        <v>126.11</v>
      </c>
      <c r="Q324" s="117">
        <f t="shared" si="54"/>
        <v>9.0479999999999983</v>
      </c>
      <c r="R324" s="19"/>
      <c r="S324" s="17"/>
    </row>
    <row r="325" spans="1:19" ht="15.75" customHeight="1" x14ac:dyDescent="0.25">
      <c r="A325" s="201"/>
      <c r="B325" s="522" t="s">
        <v>149</v>
      </c>
      <c r="C325" s="446"/>
      <c r="D325" s="447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"/>
      <c r="S325" s="1"/>
    </row>
    <row r="326" spans="1:19" ht="15.75" customHeight="1" x14ac:dyDescent="0.25">
      <c r="A326" s="106">
        <v>386</v>
      </c>
      <c r="B326" s="439" t="s">
        <v>150</v>
      </c>
      <c r="C326" s="440"/>
      <c r="D326" s="441"/>
      <c r="E326" s="157">
        <v>200</v>
      </c>
      <c r="F326" s="157">
        <v>9.4</v>
      </c>
      <c r="G326" s="157">
        <v>4.4000000000000004</v>
      </c>
      <c r="H326" s="157">
        <v>6.37</v>
      </c>
      <c r="I326" s="157">
        <v>102.6</v>
      </c>
      <c r="J326" s="115">
        <v>0.06</v>
      </c>
      <c r="K326" s="115">
        <v>1.2</v>
      </c>
      <c r="L326" s="115">
        <v>0.02</v>
      </c>
      <c r="M326" s="115">
        <v>0</v>
      </c>
      <c r="N326" s="115">
        <v>248</v>
      </c>
      <c r="O326" s="115">
        <v>190</v>
      </c>
      <c r="P326" s="115">
        <v>30</v>
      </c>
      <c r="Q326" s="115">
        <v>0.2</v>
      </c>
      <c r="R326" s="29"/>
      <c r="S326" s="29"/>
    </row>
    <row r="327" spans="1:19" ht="17.25" customHeight="1" x14ac:dyDescent="0.25">
      <c r="A327" s="106" t="s">
        <v>27</v>
      </c>
      <c r="B327" s="439" t="s">
        <v>130</v>
      </c>
      <c r="C327" s="440"/>
      <c r="D327" s="441"/>
      <c r="E327" s="102">
        <v>20</v>
      </c>
      <c r="F327" s="102">
        <v>1.25</v>
      </c>
      <c r="G327" s="102">
        <v>1.48</v>
      </c>
      <c r="H327" s="102">
        <v>34.89</v>
      </c>
      <c r="I327" s="102">
        <v>160.75</v>
      </c>
      <c r="J327" s="102">
        <v>0</v>
      </c>
      <c r="K327" s="102">
        <v>0.1</v>
      </c>
      <c r="L327" s="102">
        <v>0</v>
      </c>
      <c r="M327" s="102">
        <v>0</v>
      </c>
      <c r="N327" s="102">
        <v>6.8</v>
      </c>
      <c r="O327" s="102">
        <v>0</v>
      </c>
      <c r="P327" s="102">
        <v>4.53</v>
      </c>
      <c r="Q327" s="102">
        <v>0.9</v>
      </c>
      <c r="R327" s="29"/>
      <c r="S327" s="29"/>
    </row>
    <row r="328" spans="1:19" ht="15.75" customHeight="1" x14ac:dyDescent="0.25">
      <c r="A328" s="106"/>
      <c r="B328" s="436" t="s">
        <v>53</v>
      </c>
      <c r="C328" s="437"/>
      <c r="D328" s="438"/>
      <c r="E328" s="100">
        <v>8</v>
      </c>
      <c r="F328" s="117"/>
      <c r="G328" s="117"/>
      <c r="H328" s="117"/>
      <c r="I328" s="117"/>
      <c r="J328" s="117"/>
      <c r="K328" s="117"/>
      <c r="L328" s="117"/>
      <c r="M328" s="117"/>
      <c r="N328" s="117">
        <v>29.44</v>
      </c>
      <c r="O328" s="117"/>
      <c r="P328" s="117">
        <v>1.76</v>
      </c>
      <c r="Q328" s="117">
        <v>0.23</v>
      </c>
      <c r="R328" s="29"/>
      <c r="S328" s="29"/>
    </row>
    <row r="329" spans="1:19" ht="15.75" customHeight="1" x14ac:dyDescent="0.25">
      <c r="A329" s="106"/>
      <c r="B329" s="442" t="s">
        <v>52</v>
      </c>
      <c r="C329" s="443"/>
      <c r="D329" s="444"/>
      <c r="E329" s="109">
        <f t="shared" ref="E329:Q329" si="55">SUM(E326:E327)</f>
        <v>220</v>
      </c>
      <c r="F329" s="109">
        <f t="shared" si="55"/>
        <v>10.65</v>
      </c>
      <c r="G329" s="109">
        <f t="shared" si="55"/>
        <v>5.8800000000000008</v>
      </c>
      <c r="H329" s="109">
        <f t="shared" si="55"/>
        <v>41.26</v>
      </c>
      <c r="I329" s="109">
        <f t="shared" si="55"/>
        <v>263.35000000000002</v>
      </c>
      <c r="J329" s="109">
        <f t="shared" si="55"/>
        <v>0.06</v>
      </c>
      <c r="K329" s="109">
        <f t="shared" si="55"/>
        <v>1.3</v>
      </c>
      <c r="L329" s="109">
        <f t="shared" si="55"/>
        <v>0.02</v>
      </c>
      <c r="M329" s="109">
        <f t="shared" si="55"/>
        <v>0</v>
      </c>
      <c r="N329" s="109">
        <f t="shared" si="55"/>
        <v>254.8</v>
      </c>
      <c r="O329" s="109">
        <f t="shared" si="55"/>
        <v>190</v>
      </c>
      <c r="P329" s="109">
        <f t="shared" si="55"/>
        <v>34.53</v>
      </c>
      <c r="Q329" s="109">
        <f t="shared" si="55"/>
        <v>1.1000000000000001</v>
      </c>
      <c r="R329" s="17"/>
      <c r="S329" s="17"/>
    </row>
    <row r="330" spans="1:19" ht="15.75" customHeight="1" x14ac:dyDescent="0.25">
      <c r="A330" s="123"/>
      <c r="B330" s="717" t="s">
        <v>151</v>
      </c>
      <c r="C330" s="718"/>
      <c r="D330" s="719"/>
      <c r="E330" s="89">
        <f t="shared" ref="E330:Q330" si="56">SUM(E295,E298,E310,E314,E324,E329)</f>
        <v>3349</v>
      </c>
      <c r="F330" s="110">
        <f t="shared" si="56"/>
        <v>119.33699999999999</v>
      </c>
      <c r="G330" s="110">
        <f t="shared" si="56"/>
        <v>86.944999999999993</v>
      </c>
      <c r="H330" s="110">
        <f t="shared" si="56"/>
        <v>564.88200000000006</v>
      </c>
      <c r="I330" s="110">
        <f t="shared" si="56"/>
        <v>3620.4259999999995</v>
      </c>
      <c r="J330" s="110">
        <f t="shared" si="56"/>
        <v>0.26</v>
      </c>
      <c r="K330" s="110">
        <f t="shared" si="56"/>
        <v>154.27000000000001</v>
      </c>
      <c r="L330" s="110">
        <f t="shared" si="56"/>
        <v>0.15</v>
      </c>
      <c r="M330" s="110">
        <f t="shared" si="56"/>
        <v>1.4100000000000001</v>
      </c>
      <c r="N330" s="110">
        <f t="shared" si="56"/>
        <v>1041.8780000000002</v>
      </c>
      <c r="O330" s="110">
        <f t="shared" si="56"/>
        <v>331.9</v>
      </c>
      <c r="P330" s="110">
        <f t="shared" si="56"/>
        <v>617.18799999999999</v>
      </c>
      <c r="Q330" s="110">
        <f t="shared" si="56"/>
        <v>32.923999999999999</v>
      </c>
      <c r="R330" s="29"/>
      <c r="S330" s="29"/>
    </row>
    <row r="331" spans="1:19" ht="15.75" customHeight="1" x14ac:dyDescent="0.25">
      <c r="A331" s="105"/>
      <c r="B331" s="720" t="s">
        <v>152</v>
      </c>
      <c r="C331" s="721"/>
      <c r="D331" s="721"/>
      <c r="E331" s="111">
        <f t="shared" ref="E331:Q331" si="57">SUM(E50,E96,E140,E187,E234,E281,E330)</f>
        <v>23490.2196</v>
      </c>
      <c r="F331" s="112">
        <f t="shared" si="57"/>
        <v>973.47897482109329</v>
      </c>
      <c r="G331" s="112">
        <f t="shared" si="57"/>
        <v>843.64862934896018</v>
      </c>
      <c r="H331" s="112">
        <f t="shared" si="57"/>
        <v>3646.8165760746883</v>
      </c>
      <c r="I331" s="112">
        <f t="shared" si="57"/>
        <v>26182.360607668212</v>
      </c>
      <c r="J331" s="112">
        <f t="shared" si="57"/>
        <v>26.882000000000001</v>
      </c>
      <c r="K331" s="112">
        <f t="shared" si="57"/>
        <v>797.1469519691027</v>
      </c>
      <c r="L331" s="112">
        <f t="shared" si="57"/>
        <v>27.715999999999998</v>
      </c>
      <c r="M331" s="112">
        <f t="shared" si="57"/>
        <v>99.67</v>
      </c>
      <c r="N331" s="113">
        <f t="shared" si="57"/>
        <v>9097.7809089686871</v>
      </c>
      <c r="O331" s="114">
        <f t="shared" si="57"/>
        <v>1417.9360000000001</v>
      </c>
      <c r="P331" s="113">
        <f t="shared" si="57"/>
        <v>4535.5328253953658</v>
      </c>
      <c r="Q331" s="112">
        <f t="shared" si="57"/>
        <v>276.7562687254902</v>
      </c>
      <c r="R331" s="17"/>
      <c r="S331" s="17"/>
    </row>
    <row r="332" spans="1:19" ht="15.75" customHeight="1" x14ac:dyDescent="0.25">
      <c r="A332" s="722" t="s">
        <v>153</v>
      </c>
      <c r="B332" s="609"/>
      <c r="C332" s="609"/>
      <c r="D332" s="609"/>
      <c r="E332" s="609"/>
      <c r="F332" s="609"/>
      <c r="G332" s="609"/>
      <c r="H332" s="609"/>
      <c r="I332" s="609"/>
      <c r="J332" s="609"/>
      <c r="K332" s="609"/>
      <c r="L332" s="609"/>
      <c r="M332" s="609"/>
      <c r="N332" s="609"/>
      <c r="O332" s="609"/>
      <c r="P332" s="609"/>
      <c r="Q332" s="609"/>
      <c r="R332" s="610"/>
      <c r="S332" s="1"/>
    </row>
    <row r="333" spans="1:19" ht="30" customHeight="1" x14ac:dyDescent="0.25">
      <c r="A333" s="611"/>
      <c r="B333" s="612"/>
      <c r="C333" s="612"/>
      <c r="D333" s="612"/>
      <c r="E333" s="612"/>
      <c r="F333" s="612"/>
      <c r="G333" s="612"/>
      <c r="H333" s="612"/>
      <c r="I333" s="612"/>
      <c r="J333" s="612"/>
      <c r="K333" s="612"/>
      <c r="L333" s="612"/>
      <c r="M333" s="612"/>
      <c r="N333" s="612"/>
      <c r="O333" s="612"/>
      <c r="P333" s="612"/>
      <c r="Q333" s="612"/>
      <c r="R333" s="613"/>
      <c r="S333" s="1"/>
    </row>
    <row r="334" spans="1:19" ht="15.75" customHeight="1" x14ac:dyDescent="0.25">
      <c r="A334" s="526" t="s">
        <v>3</v>
      </c>
      <c r="B334" s="528" t="s">
        <v>4</v>
      </c>
      <c r="C334" s="476"/>
      <c r="D334" s="477"/>
      <c r="E334" s="529" t="s">
        <v>5</v>
      </c>
      <c r="F334" s="530" t="s">
        <v>6</v>
      </c>
      <c r="G334" s="440"/>
      <c r="H334" s="441"/>
      <c r="I334" s="529" t="s">
        <v>7</v>
      </c>
      <c r="J334" s="530" t="s">
        <v>8</v>
      </c>
      <c r="K334" s="440"/>
      <c r="L334" s="440"/>
      <c r="M334" s="441"/>
      <c r="N334" s="530" t="s">
        <v>9</v>
      </c>
      <c r="O334" s="440"/>
      <c r="P334" s="440"/>
      <c r="Q334" s="441"/>
      <c r="R334" s="1"/>
      <c r="S334" s="1"/>
    </row>
    <row r="335" spans="1:19" ht="27.75" customHeight="1" x14ac:dyDescent="0.25">
      <c r="A335" s="527"/>
      <c r="B335" s="478"/>
      <c r="C335" s="479"/>
      <c r="D335" s="480"/>
      <c r="E335" s="527"/>
      <c r="F335" s="34" t="s">
        <v>10</v>
      </c>
      <c r="G335" s="34" t="s">
        <v>11</v>
      </c>
      <c r="H335" s="34" t="s">
        <v>12</v>
      </c>
      <c r="I335" s="527"/>
      <c r="J335" s="34" t="s">
        <v>13</v>
      </c>
      <c r="K335" s="34" t="s">
        <v>14</v>
      </c>
      <c r="L335" s="34" t="s">
        <v>15</v>
      </c>
      <c r="M335" s="34" t="s">
        <v>16</v>
      </c>
      <c r="N335" s="34" t="s">
        <v>17</v>
      </c>
      <c r="O335" s="34" t="s">
        <v>18</v>
      </c>
      <c r="P335" s="34" t="s">
        <v>19</v>
      </c>
      <c r="Q335" s="34" t="s">
        <v>20</v>
      </c>
      <c r="R335" s="1"/>
      <c r="S335" s="1"/>
    </row>
    <row r="336" spans="1:19" ht="15.75" customHeight="1" x14ac:dyDescent="0.25">
      <c r="A336" s="9">
        <v>1</v>
      </c>
      <c r="B336" s="532">
        <v>2</v>
      </c>
      <c r="C336" s="440"/>
      <c r="D336" s="441"/>
      <c r="E336" s="57">
        <v>3</v>
      </c>
      <c r="F336" s="57">
        <v>4</v>
      </c>
      <c r="G336" s="57">
        <v>5</v>
      </c>
      <c r="H336" s="57">
        <v>6</v>
      </c>
      <c r="I336" s="57">
        <v>7</v>
      </c>
      <c r="J336" s="57">
        <v>8</v>
      </c>
      <c r="K336" s="57">
        <v>9</v>
      </c>
      <c r="L336" s="57">
        <v>10</v>
      </c>
      <c r="M336" s="57">
        <v>11</v>
      </c>
      <c r="N336" s="57">
        <v>12</v>
      </c>
      <c r="O336" s="57">
        <v>13</v>
      </c>
      <c r="P336" s="57">
        <v>14</v>
      </c>
      <c r="Q336" s="57">
        <v>15</v>
      </c>
      <c r="R336" s="1"/>
      <c r="S336" s="1"/>
    </row>
    <row r="337" spans="1:19" ht="15.75" customHeight="1" x14ac:dyDescent="0.25">
      <c r="A337" s="38"/>
      <c r="B337" s="483" t="s">
        <v>21</v>
      </c>
      <c r="C337" s="484"/>
      <c r="D337" s="485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"/>
      <c r="S337" s="1"/>
    </row>
    <row r="338" spans="1:19" ht="18" customHeight="1" x14ac:dyDescent="0.25">
      <c r="A338" s="15">
        <v>3</v>
      </c>
      <c r="B338" s="439" t="s">
        <v>154</v>
      </c>
      <c r="C338" s="440"/>
      <c r="D338" s="441"/>
      <c r="E338" s="106" t="s">
        <v>155</v>
      </c>
      <c r="F338" s="106">
        <v>6.23</v>
      </c>
      <c r="G338" s="106">
        <v>10.83</v>
      </c>
      <c r="H338" s="106">
        <v>23.46</v>
      </c>
      <c r="I338" s="106">
        <v>216.14</v>
      </c>
      <c r="J338" s="132">
        <v>8.5000000000000006E-2</v>
      </c>
      <c r="K338" s="132">
        <v>0.19</v>
      </c>
      <c r="L338" s="106">
        <v>3.1E-2</v>
      </c>
      <c r="M338" s="106">
        <v>3.5999999999999997E-2</v>
      </c>
      <c r="N338" s="106">
        <v>134.9</v>
      </c>
      <c r="O338" s="106">
        <v>110.28</v>
      </c>
      <c r="P338" s="106">
        <v>23.44</v>
      </c>
      <c r="Q338" s="106">
        <v>0.89</v>
      </c>
      <c r="R338" s="17"/>
      <c r="S338" s="17"/>
    </row>
    <row r="339" spans="1:19" ht="15.75" customHeight="1" x14ac:dyDescent="0.25">
      <c r="A339" s="551">
        <v>174</v>
      </c>
      <c r="B339" s="542" t="s">
        <v>156</v>
      </c>
      <c r="C339" s="476"/>
      <c r="D339" s="477"/>
      <c r="E339" s="106">
        <v>200</v>
      </c>
      <c r="F339" s="470">
        <v>7.74</v>
      </c>
      <c r="G339" s="470">
        <v>9.75</v>
      </c>
      <c r="H339" s="470">
        <v>44.01</v>
      </c>
      <c r="I339" s="470">
        <v>295</v>
      </c>
      <c r="J339" s="470">
        <v>0.08</v>
      </c>
      <c r="K339" s="470">
        <v>1.6</v>
      </c>
      <c r="L339" s="470">
        <v>3.2000000000000001E-2</v>
      </c>
      <c r="M339" s="470">
        <v>0.108</v>
      </c>
      <c r="N339" s="470">
        <v>198.6</v>
      </c>
      <c r="O339" s="470">
        <v>163.4</v>
      </c>
      <c r="P339" s="470">
        <v>26</v>
      </c>
      <c r="Q339" s="470">
        <v>0.4</v>
      </c>
      <c r="R339" s="17"/>
      <c r="S339" s="17"/>
    </row>
    <row r="340" spans="1:19" ht="15.75" customHeight="1" x14ac:dyDescent="0.25">
      <c r="A340" s="527"/>
      <c r="B340" s="478"/>
      <c r="C340" s="479"/>
      <c r="D340" s="480"/>
      <c r="E340" s="106">
        <f>E339*2.5/100</f>
        <v>5</v>
      </c>
      <c r="F340" s="471"/>
      <c r="G340" s="471"/>
      <c r="H340" s="471"/>
      <c r="I340" s="471"/>
      <c r="J340" s="471"/>
      <c r="K340" s="471"/>
      <c r="L340" s="471"/>
      <c r="M340" s="471"/>
      <c r="N340" s="471"/>
      <c r="O340" s="471"/>
      <c r="P340" s="471"/>
      <c r="Q340" s="471"/>
      <c r="R340" s="17"/>
      <c r="S340" s="17"/>
    </row>
    <row r="341" spans="1:19" ht="15.75" customHeight="1" x14ac:dyDescent="0.25">
      <c r="A341" s="15" t="s">
        <v>27</v>
      </c>
      <c r="B341" s="439" t="s">
        <v>28</v>
      </c>
      <c r="C341" s="440"/>
      <c r="D341" s="441"/>
      <c r="E341" s="99">
        <v>45</v>
      </c>
      <c r="F341" s="117">
        <f>2.26*E341/30</f>
        <v>3.3899999999999997</v>
      </c>
      <c r="G341" s="117">
        <f>0.23*E341/30</f>
        <v>0.34499999999999997</v>
      </c>
      <c r="H341" s="117">
        <f>14.66*E341/30</f>
        <v>21.990000000000002</v>
      </c>
      <c r="I341" s="117">
        <f>68.86*E341/30</f>
        <v>103.28999999999999</v>
      </c>
      <c r="J341" s="117">
        <v>0</v>
      </c>
      <c r="K341" s="117">
        <v>0</v>
      </c>
      <c r="L341" s="117">
        <v>0</v>
      </c>
      <c r="M341" s="117">
        <v>0</v>
      </c>
      <c r="N341" s="117">
        <f>12.97*E341/30</f>
        <v>19.454999999999998</v>
      </c>
      <c r="O341" s="117">
        <v>0</v>
      </c>
      <c r="P341" s="117">
        <f>2.83*E341/30</f>
        <v>4.2450000000000001</v>
      </c>
      <c r="Q341" s="117">
        <f>0.74*E341/30</f>
        <v>1.1099999999999999</v>
      </c>
      <c r="R341" s="29"/>
      <c r="S341" s="29"/>
    </row>
    <row r="342" spans="1:19" ht="15.75" customHeight="1" x14ac:dyDescent="0.25">
      <c r="A342" s="15">
        <v>375</v>
      </c>
      <c r="B342" s="439" t="s">
        <v>157</v>
      </c>
      <c r="C342" s="440"/>
      <c r="D342" s="441"/>
      <c r="E342" s="106" t="s">
        <v>158</v>
      </c>
      <c r="F342" s="106">
        <v>1.52</v>
      </c>
      <c r="G342" s="106">
        <v>1.35</v>
      </c>
      <c r="H342" s="106">
        <v>15.9</v>
      </c>
      <c r="I342" s="106">
        <v>81</v>
      </c>
      <c r="J342" s="106">
        <v>0</v>
      </c>
      <c r="K342" s="106">
        <v>1.33</v>
      </c>
      <c r="L342" s="106">
        <v>0</v>
      </c>
      <c r="M342" s="106">
        <v>0</v>
      </c>
      <c r="N342" s="106">
        <v>126.6</v>
      </c>
      <c r="O342" s="106">
        <v>0</v>
      </c>
      <c r="P342" s="106">
        <v>15.4</v>
      </c>
      <c r="Q342" s="106">
        <v>0.41</v>
      </c>
      <c r="R342" s="29"/>
      <c r="S342" s="29"/>
    </row>
    <row r="343" spans="1:19" ht="15.75" customHeight="1" x14ac:dyDescent="0.25">
      <c r="A343" s="15"/>
      <c r="B343" s="422" t="s">
        <v>29</v>
      </c>
      <c r="C343" s="423"/>
      <c r="D343" s="424"/>
      <c r="E343" s="106">
        <f>SUM(E338:E342)+150+5+15</f>
        <v>420</v>
      </c>
      <c r="F343" s="117">
        <f t="shared" ref="F343:Q343" si="58">SUM(F338:F342)</f>
        <v>18.88</v>
      </c>
      <c r="G343" s="117">
        <f t="shared" si="58"/>
        <v>22.274999999999999</v>
      </c>
      <c r="H343" s="117">
        <f t="shared" si="58"/>
        <v>105.36000000000001</v>
      </c>
      <c r="I343" s="117">
        <f t="shared" si="58"/>
        <v>695.43</v>
      </c>
      <c r="J343" s="117">
        <f t="shared" si="58"/>
        <v>0.16500000000000001</v>
      </c>
      <c r="K343" s="117">
        <f t="shared" si="58"/>
        <v>3.12</v>
      </c>
      <c r="L343" s="117">
        <f t="shared" si="58"/>
        <v>6.3E-2</v>
      </c>
      <c r="M343" s="117">
        <f t="shared" si="58"/>
        <v>0.14399999999999999</v>
      </c>
      <c r="N343" s="117">
        <f t="shared" si="58"/>
        <v>479.55499999999995</v>
      </c>
      <c r="O343" s="117">
        <f t="shared" si="58"/>
        <v>273.68</v>
      </c>
      <c r="P343" s="117">
        <f t="shared" si="58"/>
        <v>69.084999999999994</v>
      </c>
      <c r="Q343" s="117">
        <f t="shared" si="58"/>
        <v>2.81</v>
      </c>
      <c r="R343" s="17"/>
      <c r="S343" s="17"/>
    </row>
    <row r="344" spans="1:19" ht="14.25" customHeight="1" x14ac:dyDescent="0.25">
      <c r="A344" s="38"/>
      <c r="B344" s="522" t="s">
        <v>30</v>
      </c>
      <c r="C344" s="446"/>
      <c r="D344" s="447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"/>
      <c r="S344" s="1"/>
    </row>
    <row r="345" spans="1:19" ht="33.75" customHeight="1" x14ac:dyDescent="0.25">
      <c r="A345" s="20">
        <v>338</v>
      </c>
      <c r="B345" s="482" t="s">
        <v>31</v>
      </c>
      <c r="C345" s="440"/>
      <c r="D345" s="441"/>
      <c r="E345" s="133">
        <v>300</v>
      </c>
      <c r="F345" s="133">
        <v>1.2</v>
      </c>
      <c r="G345" s="134">
        <v>1.2</v>
      </c>
      <c r="H345" s="133">
        <v>29.4</v>
      </c>
      <c r="I345" s="133">
        <v>132</v>
      </c>
      <c r="J345" s="133">
        <v>0</v>
      </c>
      <c r="K345" s="133">
        <v>30</v>
      </c>
      <c r="L345" s="133">
        <v>0</v>
      </c>
      <c r="M345" s="133">
        <v>0</v>
      </c>
      <c r="N345" s="133">
        <v>48</v>
      </c>
      <c r="O345" s="133">
        <v>0</v>
      </c>
      <c r="P345" s="133">
        <v>27</v>
      </c>
      <c r="Q345" s="133">
        <v>6.6</v>
      </c>
      <c r="R345" s="39"/>
      <c r="S345" s="39"/>
    </row>
    <row r="346" spans="1:19" ht="15.75" customHeight="1" x14ac:dyDescent="0.25">
      <c r="A346" s="15"/>
      <c r="B346" s="442" t="s">
        <v>112</v>
      </c>
      <c r="C346" s="472"/>
      <c r="D346" s="473"/>
      <c r="E346" s="106">
        <f>E345</f>
        <v>300</v>
      </c>
      <c r="F346" s="106">
        <f t="shared" ref="F346:Q346" si="59">SUM(F345)</f>
        <v>1.2</v>
      </c>
      <c r="G346" s="132">
        <f t="shared" si="59"/>
        <v>1.2</v>
      </c>
      <c r="H346" s="106">
        <f t="shared" si="59"/>
        <v>29.4</v>
      </c>
      <c r="I346" s="106">
        <f t="shared" si="59"/>
        <v>132</v>
      </c>
      <c r="J346" s="106">
        <f t="shared" si="59"/>
        <v>0</v>
      </c>
      <c r="K346" s="106">
        <f t="shared" si="59"/>
        <v>30</v>
      </c>
      <c r="L346" s="106">
        <f t="shared" si="59"/>
        <v>0</v>
      </c>
      <c r="M346" s="106">
        <f t="shared" si="59"/>
        <v>0</v>
      </c>
      <c r="N346" s="106">
        <f t="shared" si="59"/>
        <v>48</v>
      </c>
      <c r="O346" s="106">
        <f t="shared" si="59"/>
        <v>0</v>
      </c>
      <c r="P346" s="106">
        <f t="shared" si="59"/>
        <v>27</v>
      </c>
      <c r="Q346" s="106">
        <f t="shared" si="59"/>
        <v>6.6</v>
      </c>
      <c r="R346" s="17"/>
      <c r="S346" s="17"/>
    </row>
    <row r="347" spans="1:19" ht="15.75" customHeight="1" x14ac:dyDescent="0.25">
      <c r="A347" s="38"/>
      <c r="B347" s="522" t="s">
        <v>33</v>
      </c>
      <c r="C347" s="446"/>
      <c r="D347" s="447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"/>
      <c r="S347" s="1"/>
    </row>
    <row r="348" spans="1:19" ht="15.75" customHeight="1" x14ac:dyDescent="0.25">
      <c r="A348" s="15">
        <v>71</v>
      </c>
      <c r="B348" s="439" t="s">
        <v>159</v>
      </c>
      <c r="C348" s="440"/>
      <c r="D348" s="441"/>
      <c r="E348" s="100">
        <v>100</v>
      </c>
      <c r="F348" s="117">
        <f>1.2*E348/100</f>
        <v>1.2</v>
      </c>
      <c r="G348" s="117">
        <f>0*E348/100</f>
        <v>0</v>
      </c>
      <c r="H348" s="117">
        <f>4.6*E348/100</f>
        <v>4.5999999999999996</v>
      </c>
      <c r="I348" s="117">
        <f>23.2*E348/100</f>
        <v>23.2</v>
      </c>
      <c r="J348" s="117">
        <f>0*E348/100</f>
        <v>0</v>
      </c>
      <c r="K348" s="117">
        <f>25*E348/100</f>
        <v>25</v>
      </c>
      <c r="L348" s="117">
        <v>0</v>
      </c>
      <c r="M348" s="117">
        <v>0</v>
      </c>
      <c r="N348" s="117">
        <f>14*E348/100</f>
        <v>14</v>
      </c>
      <c r="O348" s="117">
        <v>0</v>
      </c>
      <c r="P348" s="117">
        <f>9.34*E348/100</f>
        <v>9.34</v>
      </c>
      <c r="Q348" s="117">
        <f>0.9*E348/100</f>
        <v>0.9</v>
      </c>
      <c r="R348" s="17"/>
      <c r="S348" s="17"/>
    </row>
    <row r="349" spans="1:19" ht="21" customHeight="1" x14ac:dyDescent="0.25">
      <c r="A349" s="52">
        <v>102</v>
      </c>
      <c r="B349" s="482" t="s">
        <v>81</v>
      </c>
      <c r="C349" s="440"/>
      <c r="D349" s="441"/>
      <c r="E349" s="135">
        <v>250</v>
      </c>
      <c r="F349" s="205">
        <v>8.32</v>
      </c>
      <c r="G349" s="205">
        <v>4.25</v>
      </c>
      <c r="H349" s="205">
        <v>31.25</v>
      </c>
      <c r="I349" s="205">
        <v>196.5</v>
      </c>
      <c r="J349" s="205">
        <v>0.39500000000000002</v>
      </c>
      <c r="K349" s="205">
        <v>24.5</v>
      </c>
      <c r="L349" s="205">
        <f>0*E349/250</f>
        <v>0</v>
      </c>
      <c r="M349" s="205">
        <f>0*E349/250</f>
        <v>0</v>
      </c>
      <c r="N349" s="205">
        <v>58.09</v>
      </c>
      <c r="O349" s="205" t="s">
        <v>160</v>
      </c>
      <c r="P349" s="205">
        <v>65.069999999999993</v>
      </c>
      <c r="Q349" s="205">
        <v>4.0999999999999996</v>
      </c>
      <c r="R349" s="17"/>
      <c r="S349" s="17"/>
    </row>
    <row r="350" spans="1:19" ht="15.75" customHeight="1" x14ac:dyDescent="0.25">
      <c r="A350" s="548">
        <v>250</v>
      </c>
      <c r="B350" s="730" t="s">
        <v>104</v>
      </c>
      <c r="C350" s="476"/>
      <c r="D350" s="477"/>
      <c r="E350" s="227">
        <v>120</v>
      </c>
      <c r="F350" s="729">
        <f>29.02*E350/120</f>
        <v>29.02</v>
      </c>
      <c r="G350" s="729">
        <f>21.86*E350/120</f>
        <v>21.86</v>
      </c>
      <c r="H350" s="729">
        <f>6.58*E350/120</f>
        <v>6.58</v>
      </c>
      <c r="I350" s="729">
        <f>339.14*E350/120</f>
        <v>339.14</v>
      </c>
      <c r="J350" s="729" t="s">
        <v>35</v>
      </c>
      <c r="K350" s="729">
        <f>0.02*E350/120</f>
        <v>0.02</v>
      </c>
      <c r="L350" s="729">
        <v>0</v>
      </c>
      <c r="M350" s="729">
        <v>0</v>
      </c>
      <c r="N350" s="729">
        <f>66.8*E350/120</f>
        <v>66.8</v>
      </c>
      <c r="O350" s="729">
        <v>0</v>
      </c>
      <c r="P350" s="729">
        <f>41*E350/120</f>
        <v>41</v>
      </c>
      <c r="Q350" s="729">
        <f>1.98*E350/120</f>
        <v>1.98</v>
      </c>
      <c r="R350" s="18"/>
      <c r="S350" s="18"/>
    </row>
    <row r="351" spans="1:19" ht="15.75" customHeight="1" x14ac:dyDescent="0.25">
      <c r="A351" s="527"/>
      <c r="B351" s="478"/>
      <c r="C351" s="479"/>
      <c r="D351" s="480"/>
      <c r="E351" s="197">
        <f>E350*83.3335/100</f>
        <v>100.00020000000001</v>
      </c>
      <c r="F351" s="471"/>
      <c r="G351" s="471"/>
      <c r="H351" s="471"/>
      <c r="I351" s="471"/>
      <c r="J351" s="471"/>
      <c r="K351" s="471"/>
      <c r="L351" s="471"/>
      <c r="M351" s="471"/>
      <c r="N351" s="471"/>
      <c r="O351" s="471"/>
      <c r="P351" s="471"/>
      <c r="Q351" s="471"/>
      <c r="R351" s="18"/>
      <c r="S351" s="18"/>
    </row>
    <row r="352" spans="1:19" ht="16.5" customHeight="1" x14ac:dyDescent="0.25">
      <c r="A352" s="16">
        <v>202</v>
      </c>
      <c r="B352" s="448" t="s">
        <v>161</v>
      </c>
      <c r="C352" s="440"/>
      <c r="D352" s="441"/>
      <c r="E352" s="128">
        <v>200</v>
      </c>
      <c r="F352" s="129">
        <f>7.54*E352/200</f>
        <v>7.54</v>
      </c>
      <c r="G352" s="129">
        <f>0.88*E352/200</f>
        <v>0.88</v>
      </c>
      <c r="H352" s="129">
        <f>42.55*E352/200</f>
        <v>42.55</v>
      </c>
      <c r="I352" s="142">
        <f>208.4*E352/200</f>
        <v>208.4</v>
      </c>
      <c r="J352" s="139">
        <v>0</v>
      </c>
      <c r="K352" s="139">
        <v>0</v>
      </c>
      <c r="L352" s="139">
        <v>0</v>
      </c>
      <c r="M352" s="139" t="s">
        <v>35</v>
      </c>
      <c r="N352" s="139">
        <f>14.91*E352/200</f>
        <v>14.91</v>
      </c>
      <c r="O352" s="139">
        <v>0</v>
      </c>
      <c r="P352" s="139">
        <f>11.48*E352/200</f>
        <v>11.48</v>
      </c>
      <c r="Q352" s="139">
        <f>1.13*E352/200</f>
        <v>1.1299999999999999</v>
      </c>
      <c r="R352" s="25"/>
      <c r="S352" s="25"/>
    </row>
    <row r="353" spans="1:19" ht="16.5" customHeight="1" x14ac:dyDescent="0.25">
      <c r="A353" s="15">
        <v>342</v>
      </c>
      <c r="B353" s="439" t="s">
        <v>38</v>
      </c>
      <c r="C353" s="440"/>
      <c r="D353" s="441"/>
      <c r="E353" s="100">
        <v>200</v>
      </c>
      <c r="F353" s="117">
        <v>0.08</v>
      </c>
      <c r="G353" s="117">
        <v>0</v>
      </c>
      <c r="H353" s="117">
        <v>21.82</v>
      </c>
      <c r="I353" s="117">
        <v>87.6</v>
      </c>
      <c r="J353" s="117">
        <v>0</v>
      </c>
      <c r="K353" s="117">
        <v>2.25</v>
      </c>
      <c r="L353" s="117">
        <v>0</v>
      </c>
      <c r="M353" s="117">
        <v>0</v>
      </c>
      <c r="N353" s="117">
        <v>17</v>
      </c>
      <c r="O353" s="117">
        <v>0</v>
      </c>
      <c r="P353" s="117">
        <v>9</v>
      </c>
      <c r="Q353" s="117">
        <v>2.2000000000000002</v>
      </c>
      <c r="R353" s="29"/>
      <c r="S353" s="29"/>
    </row>
    <row r="354" spans="1:19" ht="15.75" customHeight="1" x14ac:dyDescent="0.25">
      <c r="A354" s="15" t="s">
        <v>27</v>
      </c>
      <c r="B354" s="41" t="s">
        <v>39</v>
      </c>
      <c r="C354" s="41"/>
      <c r="D354" s="41"/>
      <c r="E354" s="99">
        <v>75</v>
      </c>
      <c r="F354" s="117">
        <f>4.03*E354/50</f>
        <v>6.0449999999999999</v>
      </c>
      <c r="G354" s="117">
        <f>0.5*E354/50</f>
        <v>0.75</v>
      </c>
      <c r="H354" s="117">
        <f>22.36*E354/50</f>
        <v>33.54</v>
      </c>
      <c r="I354" s="117">
        <f>98.86*E354/50</f>
        <v>148.29</v>
      </c>
      <c r="J354" s="117">
        <v>0</v>
      </c>
      <c r="K354" s="117">
        <v>0</v>
      </c>
      <c r="L354" s="117">
        <v>0</v>
      </c>
      <c r="M354" s="117">
        <v>0</v>
      </c>
      <c r="N354" s="117">
        <f>17.59*E354/50</f>
        <v>26.385000000000002</v>
      </c>
      <c r="O354" s="117">
        <v>0</v>
      </c>
      <c r="P354" s="117">
        <f>1.89*E354/50</f>
        <v>2.835</v>
      </c>
      <c r="Q354" s="117">
        <f>0.88*E354/50</f>
        <v>1.32</v>
      </c>
      <c r="R354" s="17"/>
      <c r="S354" s="17"/>
    </row>
    <row r="355" spans="1:19" ht="15.75" customHeight="1" x14ac:dyDescent="0.25">
      <c r="A355" s="15" t="s">
        <v>27</v>
      </c>
      <c r="B355" s="439" t="s">
        <v>28</v>
      </c>
      <c r="C355" s="440"/>
      <c r="D355" s="441"/>
      <c r="E355" s="99">
        <v>45</v>
      </c>
      <c r="F355" s="117">
        <f>2.26*E355/30</f>
        <v>3.3899999999999997</v>
      </c>
      <c r="G355" s="117">
        <v>0.57999999999999996</v>
      </c>
      <c r="H355" s="117">
        <f>14.66*E355/30</f>
        <v>21.990000000000002</v>
      </c>
      <c r="I355" s="117">
        <v>108.98</v>
      </c>
      <c r="J355" s="117">
        <v>0</v>
      </c>
      <c r="K355" s="117">
        <v>0</v>
      </c>
      <c r="L355" s="117">
        <v>0</v>
      </c>
      <c r="M355" s="117">
        <v>0</v>
      </c>
      <c r="N355" s="117">
        <f>12.97*E355/30</f>
        <v>19.454999999999998</v>
      </c>
      <c r="O355" s="117">
        <v>0</v>
      </c>
      <c r="P355" s="117">
        <f>2.83*E355/30</f>
        <v>4.2450000000000001</v>
      </c>
      <c r="Q355" s="117">
        <f>0.74*E355/30</f>
        <v>1.1099999999999999</v>
      </c>
      <c r="R355" s="17"/>
      <c r="S355" s="17"/>
    </row>
    <row r="356" spans="1:19" ht="15.75" customHeight="1" x14ac:dyDescent="0.25">
      <c r="A356" s="15"/>
      <c r="B356" s="442" t="s">
        <v>40</v>
      </c>
      <c r="C356" s="472"/>
      <c r="D356" s="473"/>
      <c r="E356" s="100">
        <f t="shared" ref="E356:Q356" si="60">SUM(E348:E355)</f>
        <v>1090.0001999999999</v>
      </c>
      <c r="F356" s="117">
        <f t="shared" si="60"/>
        <v>55.594999999999999</v>
      </c>
      <c r="G356" s="117">
        <f t="shared" si="60"/>
        <v>28.319999999999997</v>
      </c>
      <c r="H356" s="117">
        <f t="shared" si="60"/>
        <v>162.32999999999998</v>
      </c>
      <c r="I356" s="132">
        <f t="shared" si="60"/>
        <v>1112.1099999999999</v>
      </c>
      <c r="J356" s="117">
        <f t="shared" si="60"/>
        <v>0.39500000000000002</v>
      </c>
      <c r="K356" s="117">
        <f t="shared" si="60"/>
        <v>51.77</v>
      </c>
      <c r="L356" s="117">
        <f t="shared" si="60"/>
        <v>0</v>
      </c>
      <c r="M356" s="117">
        <f t="shared" si="60"/>
        <v>0</v>
      </c>
      <c r="N356" s="117">
        <f t="shared" si="60"/>
        <v>216.64</v>
      </c>
      <c r="O356" s="117">
        <f t="shared" si="60"/>
        <v>0</v>
      </c>
      <c r="P356" s="117">
        <f t="shared" si="60"/>
        <v>142.97</v>
      </c>
      <c r="Q356" s="117">
        <f t="shared" si="60"/>
        <v>12.739999999999998</v>
      </c>
      <c r="R356" s="29"/>
      <c r="S356" s="29"/>
    </row>
    <row r="357" spans="1:19" ht="15.75" customHeight="1" x14ac:dyDescent="0.25">
      <c r="A357" s="38"/>
      <c r="B357" s="522" t="s">
        <v>41</v>
      </c>
      <c r="C357" s="446"/>
      <c r="D357" s="447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"/>
      <c r="S357" s="1"/>
    </row>
    <row r="358" spans="1:19" ht="15.75" customHeight="1" x14ac:dyDescent="0.25">
      <c r="A358" s="16">
        <v>415</v>
      </c>
      <c r="B358" s="482" t="s">
        <v>66</v>
      </c>
      <c r="C358" s="440"/>
      <c r="D358" s="441"/>
      <c r="E358" s="95">
        <v>150</v>
      </c>
      <c r="F358" s="129">
        <v>3.67</v>
      </c>
      <c r="G358" s="129">
        <v>11.2</v>
      </c>
      <c r="H358" s="129">
        <v>31.4</v>
      </c>
      <c r="I358" s="129">
        <v>241.08</v>
      </c>
      <c r="J358" s="129">
        <v>0</v>
      </c>
      <c r="K358" s="129">
        <v>0</v>
      </c>
      <c r="L358" s="129">
        <v>0</v>
      </c>
      <c r="M358" s="129">
        <v>0</v>
      </c>
      <c r="N358" s="129">
        <v>19.399999999999999</v>
      </c>
      <c r="O358" s="129">
        <v>0</v>
      </c>
      <c r="P358" s="129">
        <v>24.4</v>
      </c>
      <c r="Q358" s="129">
        <v>1.28</v>
      </c>
      <c r="R358" s="1"/>
      <c r="S358" s="1"/>
    </row>
    <row r="359" spans="1:19" ht="15.75" customHeight="1" x14ac:dyDescent="0.25">
      <c r="A359" s="53">
        <v>382</v>
      </c>
      <c r="B359" s="439" t="s">
        <v>58</v>
      </c>
      <c r="C359" s="440"/>
      <c r="D359" s="441"/>
      <c r="E359" s="154">
        <v>200</v>
      </c>
      <c r="F359" s="152">
        <v>3.76</v>
      </c>
      <c r="G359" s="152">
        <v>3.2</v>
      </c>
      <c r="H359" s="152">
        <v>17.57</v>
      </c>
      <c r="I359" s="152">
        <v>114.12</v>
      </c>
      <c r="J359" s="129">
        <v>0</v>
      </c>
      <c r="K359" s="129">
        <v>1.58</v>
      </c>
      <c r="L359" s="129">
        <v>0</v>
      </c>
      <c r="M359" s="152">
        <v>0</v>
      </c>
      <c r="N359" s="152">
        <v>152.22</v>
      </c>
      <c r="O359" s="152">
        <v>0</v>
      </c>
      <c r="P359" s="152">
        <v>21.34</v>
      </c>
      <c r="Q359" s="152">
        <v>0.47</v>
      </c>
      <c r="R359" s="1"/>
      <c r="S359" s="1"/>
    </row>
    <row r="360" spans="1:19" ht="15.75" customHeight="1" x14ac:dyDescent="0.25">
      <c r="A360" s="15"/>
      <c r="B360" s="442" t="s">
        <v>43</v>
      </c>
      <c r="C360" s="472"/>
      <c r="D360" s="473"/>
      <c r="E360" s="100">
        <f t="shared" ref="E360:Q360" si="61">E358+E359</f>
        <v>350</v>
      </c>
      <c r="F360" s="117">
        <f t="shared" si="61"/>
        <v>7.43</v>
      </c>
      <c r="G360" s="117">
        <f t="shared" si="61"/>
        <v>14.399999999999999</v>
      </c>
      <c r="H360" s="117">
        <f t="shared" si="61"/>
        <v>48.97</v>
      </c>
      <c r="I360" s="117">
        <f t="shared" si="61"/>
        <v>355.20000000000005</v>
      </c>
      <c r="J360" s="117">
        <f t="shared" si="61"/>
        <v>0</v>
      </c>
      <c r="K360" s="132">
        <f t="shared" si="61"/>
        <v>1.58</v>
      </c>
      <c r="L360" s="117">
        <f t="shared" si="61"/>
        <v>0</v>
      </c>
      <c r="M360" s="117">
        <f t="shared" si="61"/>
        <v>0</v>
      </c>
      <c r="N360" s="117">
        <f t="shared" si="61"/>
        <v>171.62</v>
      </c>
      <c r="O360" s="117">
        <f t="shared" si="61"/>
        <v>0</v>
      </c>
      <c r="P360" s="117">
        <f t="shared" si="61"/>
        <v>45.739999999999995</v>
      </c>
      <c r="Q360" s="117">
        <f t="shared" si="61"/>
        <v>1.75</v>
      </c>
      <c r="R360" s="1"/>
      <c r="S360" s="1"/>
    </row>
    <row r="361" spans="1:19" ht="15.75" customHeight="1" x14ac:dyDescent="0.25">
      <c r="A361" s="38"/>
      <c r="B361" s="522" t="s">
        <v>44</v>
      </c>
      <c r="C361" s="446"/>
      <c r="D361" s="447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"/>
      <c r="S361" s="1"/>
    </row>
    <row r="362" spans="1:19" ht="15.75" customHeight="1" x14ac:dyDescent="0.25">
      <c r="A362" s="16">
        <v>75</v>
      </c>
      <c r="B362" s="448" t="s">
        <v>98</v>
      </c>
      <c r="C362" s="440"/>
      <c r="D362" s="441"/>
      <c r="E362" s="115">
        <v>100</v>
      </c>
      <c r="F362" s="129">
        <f>2.1*E362/100</f>
        <v>2.1</v>
      </c>
      <c r="G362" s="129">
        <f>6.8*E362/100</f>
        <v>6.8</v>
      </c>
      <c r="H362" s="129">
        <f>13.8*E362/100</f>
        <v>13.8</v>
      </c>
      <c r="I362" s="129">
        <f>125*E362/100</f>
        <v>125</v>
      </c>
      <c r="J362" s="129" t="s">
        <v>35</v>
      </c>
      <c r="K362" s="129">
        <f>5.12*E362/100</f>
        <v>5.12</v>
      </c>
      <c r="L362" s="129">
        <v>0</v>
      </c>
      <c r="M362" s="129">
        <v>0</v>
      </c>
      <c r="N362" s="129">
        <f>30.64*E362/100</f>
        <v>30.64</v>
      </c>
      <c r="O362" s="129">
        <v>0</v>
      </c>
      <c r="P362" s="129">
        <f>41.28*E362/100</f>
        <v>41.28</v>
      </c>
      <c r="Q362" s="129">
        <f>1.22*E362/100</f>
        <v>1.22</v>
      </c>
      <c r="R362" s="19"/>
      <c r="S362" s="17"/>
    </row>
    <row r="363" spans="1:19" ht="30.75" customHeight="1" x14ac:dyDescent="0.25">
      <c r="A363" s="15">
        <v>241</v>
      </c>
      <c r="B363" s="544" t="s">
        <v>127</v>
      </c>
      <c r="C363" s="440"/>
      <c r="D363" s="441"/>
      <c r="E363" s="122">
        <v>120</v>
      </c>
      <c r="F363" s="196">
        <f>21.35*E363/100</f>
        <v>25.62</v>
      </c>
      <c r="G363" s="196">
        <f>20.43*E363/100</f>
        <v>24.515999999999998</v>
      </c>
      <c r="H363" s="196">
        <f>0.5*E363/100</f>
        <v>0.6</v>
      </c>
      <c r="I363" s="196">
        <f>271.3*E363/100</f>
        <v>325.56</v>
      </c>
      <c r="J363" s="196">
        <v>0</v>
      </c>
      <c r="K363" s="196">
        <f>0.02*E363/100</f>
        <v>2.4E-2</v>
      </c>
      <c r="L363" s="196">
        <v>0</v>
      </c>
      <c r="M363" s="196">
        <v>0</v>
      </c>
      <c r="N363" s="196">
        <f>43.48*E363/100</f>
        <v>52.175999999999995</v>
      </c>
      <c r="O363" s="196">
        <v>0</v>
      </c>
      <c r="P363" s="196">
        <f>28.93*E363/100</f>
        <v>34.716000000000001</v>
      </c>
      <c r="Q363" s="196">
        <f>3.48*E363/100</f>
        <v>4.1760000000000002</v>
      </c>
      <c r="R363" s="17"/>
      <c r="S363" s="17"/>
    </row>
    <row r="364" spans="1:19" ht="15.75" customHeight="1" x14ac:dyDescent="0.25">
      <c r="A364" s="15">
        <v>331</v>
      </c>
      <c r="B364" s="585" t="s">
        <v>128</v>
      </c>
      <c r="C364" s="440"/>
      <c r="D364" s="441"/>
      <c r="E364" s="100">
        <v>50</v>
      </c>
      <c r="F364" s="196">
        <f>0.88*E364/100</f>
        <v>0.44</v>
      </c>
      <c r="G364" s="196">
        <f>11.07*E364/100</f>
        <v>5.5350000000000001</v>
      </c>
      <c r="H364" s="196">
        <f>3.78*E364/100</f>
        <v>1.89</v>
      </c>
      <c r="I364" s="196">
        <f>118.13*E364/100</f>
        <v>59.064999999999998</v>
      </c>
      <c r="J364" s="196"/>
      <c r="K364" s="196">
        <f>1.42*E364/100</f>
        <v>0.71</v>
      </c>
      <c r="L364" s="196"/>
      <c r="M364" s="196"/>
      <c r="N364" s="196">
        <f>24.91*E364/100</f>
        <v>12.455</v>
      </c>
      <c r="O364" s="196"/>
      <c r="P364" s="196">
        <f>7.7*E364/100</f>
        <v>3.85</v>
      </c>
      <c r="Q364" s="196">
        <f>0.27*E364/100</f>
        <v>0.13500000000000001</v>
      </c>
      <c r="R364" s="17"/>
      <c r="S364" s="17"/>
    </row>
    <row r="365" spans="1:19" ht="15.75" customHeight="1" x14ac:dyDescent="0.25">
      <c r="A365" s="551">
        <v>171</v>
      </c>
      <c r="B365" s="594" t="s">
        <v>162</v>
      </c>
      <c r="C365" s="476"/>
      <c r="D365" s="477"/>
      <c r="E365" s="138">
        <v>200</v>
      </c>
      <c r="F365" s="729">
        <f>11.05*(E365+E366)/(190+10)</f>
        <v>11.630125</v>
      </c>
      <c r="G365" s="729">
        <f>11.93*(E365+E366)/(190+10)</f>
        <v>12.556324999999999</v>
      </c>
      <c r="H365" s="729">
        <f>46.07*(E365+E366)/(190+10)</f>
        <v>48.488675000000001</v>
      </c>
      <c r="I365" s="729">
        <f>350*(E365+E366)/(190+10)</f>
        <v>368.375</v>
      </c>
      <c r="J365" s="572">
        <v>0</v>
      </c>
      <c r="K365" s="572">
        <v>0</v>
      </c>
      <c r="L365" s="572">
        <v>0</v>
      </c>
      <c r="M365" s="572">
        <v>0</v>
      </c>
      <c r="N365" s="729">
        <f>32.97*(E365+E366)/(190+10)</f>
        <v>34.700924999999998</v>
      </c>
      <c r="O365" s="729">
        <v>0</v>
      </c>
      <c r="P365" s="572">
        <f>175.64*(E365+E366)/(190+10)</f>
        <v>184.86109999999996</v>
      </c>
      <c r="Q365" s="729">
        <f>5.9*(E365+E366)/(190+10)</f>
        <v>6.2097500000000005</v>
      </c>
      <c r="R365" s="17"/>
      <c r="S365" s="17"/>
    </row>
    <row r="366" spans="1:19" ht="15.75" customHeight="1" x14ac:dyDescent="0.25">
      <c r="A366" s="527"/>
      <c r="B366" s="478"/>
      <c r="C366" s="479"/>
      <c r="D366" s="480"/>
      <c r="E366" s="98">
        <f>E365*5.25/100</f>
        <v>10.5</v>
      </c>
      <c r="F366" s="471"/>
      <c r="G366" s="471"/>
      <c r="H366" s="471"/>
      <c r="I366" s="471"/>
      <c r="J366" s="601"/>
      <c r="K366" s="601"/>
      <c r="L366" s="601"/>
      <c r="M366" s="601"/>
      <c r="N366" s="601"/>
      <c r="O366" s="601"/>
      <c r="P366" s="601"/>
      <c r="Q366" s="601"/>
      <c r="R366" s="17"/>
      <c r="S366" s="17"/>
    </row>
    <row r="367" spans="1:19" ht="15.75" customHeight="1" x14ac:dyDescent="0.25">
      <c r="A367" s="51">
        <v>389</v>
      </c>
      <c r="B367" s="439" t="s">
        <v>132</v>
      </c>
      <c r="C367" s="440"/>
      <c r="D367" s="441"/>
      <c r="E367" s="95">
        <v>180</v>
      </c>
      <c r="F367" s="129">
        <v>1</v>
      </c>
      <c r="G367" s="129">
        <v>0</v>
      </c>
      <c r="H367" s="129">
        <v>20.2</v>
      </c>
      <c r="I367" s="129">
        <v>84.8</v>
      </c>
      <c r="J367" s="129">
        <v>0</v>
      </c>
      <c r="K367" s="129">
        <v>4</v>
      </c>
      <c r="L367" s="129">
        <v>0</v>
      </c>
      <c r="M367" s="129">
        <v>0</v>
      </c>
      <c r="N367" s="129">
        <v>14</v>
      </c>
      <c r="O367" s="129">
        <v>0</v>
      </c>
      <c r="P367" s="129">
        <v>8</v>
      </c>
      <c r="Q367" s="129">
        <v>2.8</v>
      </c>
      <c r="R367" s="17"/>
      <c r="S367" s="17"/>
    </row>
    <row r="368" spans="1:19" ht="15.75" customHeight="1" x14ac:dyDescent="0.25">
      <c r="A368" s="15" t="s">
        <v>27</v>
      </c>
      <c r="B368" s="41" t="s">
        <v>39</v>
      </c>
      <c r="C368" s="41"/>
      <c r="D368" s="41"/>
      <c r="E368" s="99">
        <v>75</v>
      </c>
      <c r="F368" s="196">
        <f>4.03*E368/50</f>
        <v>6.0449999999999999</v>
      </c>
      <c r="G368" s="196">
        <f>0.5*E368/50</f>
        <v>0.75</v>
      </c>
      <c r="H368" s="196">
        <f>22.36*E368/50</f>
        <v>33.54</v>
      </c>
      <c r="I368" s="196">
        <f>98.86*E368/50</f>
        <v>148.29</v>
      </c>
      <c r="J368" s="196">
        <v>0</v>
      </c>
      <c r="K368" s="196">
        <v>0</v>
      </c>
      <c r="L368" s="196">
        <v>0</v>
      </c>
      <c r="M368" s="196">
        <v>0</v>
      </c>
      <c r="N368" s="196">
        <f>17.59*E368/50</f>
        <v>26.385000000000002</v>
      </c>
      <c r="O368" s="196">
        <v>0</v>
      </c>
      <c r="P368" s="196">
        <f>1.89*E368/50</f>
        <v>2.835</v>
      </c>
      <c r="Q368" s="196">
        <f>0.88*E368/50</f>
        <v>1.32</v>
      </c>
      <c r="R368" s="17"/>
      <c r="S368" s="17"/>
    </row>
    <row r="369" spans="1:19" ht="15.75" customHeight="1" x14ac:dyDescent="0.25">
      <c r="A369" s="15" t="s">
        <v>133</v>
      </c>
      <c r="B369" s="439" t="s">
        <v>28</v>
      </c>
      <c r="C369" s="440"/>
      <c r="D369" s="441"/>
      <c r="E369" s="99">
        <v>45</v>
      </c>
      <c r="F369" s="196">
        <f>2.26*E369/30</f>
        <v>3.3899999999999997</v>
      </c>
      <c r="G369" s="196">
        <f>0.23*E369/30</f>
        <v>0.34499999999999997</v>
      </c>
      <c r="H369" s="196">
        <f>14.66*E369/30</f>
        <v>21.990000000000002</v>
      </c>
      <c r="I369" s="196">
        <f>68.86*E369/30</f>
        <v>103.28999999999999</v>
      </c>
      <c r="J369" s="196">
        <v>0</v>
      </c>
      <c r="K369" s="196">
        <v>0</v>
      </c>
      <c r="L369" s="196">
        <v>0</v>
      </c>
      <c r="M369" s="196">
        <v>0</v>
      </c>
      <c r="N369" s="196">
        <f>12.97*E369/30</f>
        <v>19.454999999999998</v>
      </c>
      <c r="O369" s="196">
        <v>0</v>
      </c>
      <c r="P369" s="196">
        <f>2.83*E369/30</f>
        <v>4.2450000000000001</v>
      </c>
      <c r="Q369" s="196">
        <f>0.74*E369/30</f>
        <v>1.1099999999999999</v>
      </c>
      <c r="R369" s="17"/>
      <c r="S369" s="17"/>
    </row>
    <row r="370" spans="1:19" ht="15.75" customHeight="1" x14ac:dyDescent="0.25">
      <c r="A370" s="15"/>
      <c r="B370" s="442" t="s">
        <v>48</v>
      </c>
      <c r="C370" s="472"/>
      <c r="D370" s="473"/>
      <c r="E370" s="99">
        <f t="shared" ref="E370:Q370" si="62">SUM(E362:E369)</f>
        <v>780.5</v>
      </c>
      <c r="F370" s="196">
        <f t="shared" si="62"/>
        <v>50.225125000000006</v>
      </c>
      <c r="G370" s="196">
        <f t="shared" si="62"/>
        <v>50.502324999999999</v>
      </c>
      <c r="H370" s="196">
        <f t="shared" si="62"/>
        <v>140.50867500000001</v>
      </c>
      <c r="I370" s="196">
        <f t="shared" si="62"/>
        <v>1214.3799999999999</v>
      </c>
      <c r="J370" s="196">
        <f t="shared" si="62"/>
        <v>0</v>
      </c>
      <c r="K370" s="196">
        <f t="shared" si="62"/>
        <v>9.8539999999999992</v>
      </c>
      <c r="L370" s="196">
        <f t="shared" si="62"/>
        <v>0</v>
      </c>
      <c r="M370" s="196">
        <f t="shared" si="62"/>
        <v>0</v>
      </c>
      <c r="N370" s="196">
        <f t="shared" si="62"/>
        <v>189.81192499999997</v>
      </c>
      <c r="O370" s="196">
        <f t="shared" si="62"/>
        <v>0</v>
      </c>
      <c r="P370" s="196">
        <f t="shared" si="62"/>
        <v>279.78709999999995</v>
      </c>
      <c r="Q370" s="196">
        <f t="shared" si="62"/>
        <v>16.970749999999999</v>
      </c>
      <c r="R370" s="29"/>
      <c r="S370" s="29"/>
    </row>
    <row r="371" spans="1:19" ht="15.75" customHeight="1" x14ac:dyDescent="0.25">
      <c r="A371" s="38"/>
      <c r="B371" s="522" t="s">
        <v>49</v>
      </c>
      <c r="C371" s="446"/>
      <c r="D371" s="447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"/>
      <c r="S371" s="1"/>
    </row>
    <row r="372" spans="1:19" ht="31.5" customHeight="1" x14ac:dyDescent="0.25">
      <c r="A372" s="20">
        <v>386</v>
      </c>
      <c r="B372" s="482" t="s">
        <v>93</v>
      </c>
      <c r="C372" s="440"/>
      <c r="D372" s="441"/>
      <c r="E372" s="157">
        <v>200</v>
      </c>
      <c r="F372" s="157">
        <v>5.6</v>
      </c>
      <c r="G372" s="157">
        <v>6.4</v>
      </c>
      <c r="H372" s="157">
        <v>7.6</v>
      </c>
      <c r="I372" s="157">
        <v>110</v>
      </c>
      <c r="J372" s="159">
        <v>0</v>
      </c>
      <c r="K372" s="157">
        <v>0.6</v>
      </c>
      <c r="L372" s="159">
        <v>0</v>
      </c>
      <c r="M372" s="157">
        <v>0</v>
      </c>
      <c r="N372" s="159">
        <v>248</v>
      </c>
      <c r="O372" s="157">
        <v>0</v>
      </c>
      <c r="P372" s="159">
        <v>28</v>
      </c>
      <c r="Q372" s="157">
        <v>0.2</v>
      </c>
      <c r="R372" s="39"/>
      <c r="S372" s="39"/>
    </row>
    <row r="373" spans="1:19" ht="30" customHeight="1" x14ac:dyDescent="0.25">
      <c r="A373" s="15" t="s">
        <v>27</v>
      </c>
      <c r="B373" s="439" t="s">
        <v>130</v>
      </c>
      <c r="C373" s="440"/>
      <c r="D373" s="441"/>
      <c r="E373" s="102">
        <v>23</v>
      </c>
      <c r="F373" s="102">
        <v>1.25</v>
      </c>
      <c r="G373" s="102">
        <v>1.48</v>
      </c>
      <c r="H373" s="102">
        <v>34.89</v>
      </c>
      <c r="I373" s="102">
        <v>160.75</v>
      </c>
      <c r="J373" s="102">
        <v>0</v>
      </c>
      <c r="K373" s="102">
        <v>0.1</v>
      </c>
      <c r="L373" s="102">
        <v>0</v>
      </c>
      <c r="M373" s="102">
        <v>0</v>
      </c>
      <c r="N373" s="102">
        <v>6.8</v>
      </c>
      <c r="O373" s="102">
        <v>0</v>
      </c>
      <c r="P373" s="102">
        <v>4.53</v>
      </c>
      <c r="Q373" s="102">
        <v>0.9</v>
      </c>
      <c r="R373" s="29"/>
      <c r="S373" s="29"/>
    </row>
    <row r="374" spans="1:19" ht="15.75" customHeight="1" x14ac:dyDescent="0.25">
      <c r="A374" s="15"/>
      <c r="B374" s="442" t="s">
        <v>52</v>
      </c>
      <c r="C374" s="472"/>
      <c r="D374" s="473"/>
      <c r="E374" s="26">
        <f t="shared" ref="E374:Q374" si="63">SUM(E372:E373)</f>
        <v>223</v>
      </c>
      <c r="F374" s="26">
        <f t="shared" si="63"/>
        <v>6.85</v>
      </c>
      <c r="G374" s="26">
        <f t="shared" si="63"/>
        <v>7.8800000000000008</v>
      </c>
      <c r="H374" s="26">
        <f t="shared" si="63"/>
        <v>42.49</v>
      </c>
      <c r="I374" s="26">
        <f t="shared" si="63"/>
        <v>270.75</v>
      </c>
      <c r="J374" s="55">
        <f t="shared" si="63"/>
        <v>0</v>
      </c>
      <c r="K374" s="26">
        <f t="shared" si="63"/>
        <v>0.7</v>
      </c>
      <c r="L374" s="55">
        <f t="shared" si="63"/>
        <v>0</v>
      </c>
      <c r="M374" s="26">
        <f t="shared" si="63"/>
        <v>0</v>
      </c>
      <c r="N374" s="55">
        <f t="shared" si="63"/>
        <v>254.8</v>
      </c>
      <c r="O374" s="26">
        <f t="shared" si="63"/>
        <v>0</v>
      </c>
      <c r="P374" s="55">
        <f t="shared" si="63"/>
        <v>32.53</v>
      </c>
      <c r="Q374" s="26">
        <f t="shared" si="63"/>
        <v>1.1000000000000001</v>
      </c>
      <c r="R374" s="17"/>
      <c r="S374" s="17"/>
    </row>
    <row r="375" spans="1:19" s="85" customFormat="1" ht="15.75" customHeight="1" x14ac:dyDescent="0.25">
      <c r="A375" s="15"/>
      <c r="B375" s="436" t="s">
        <v>53</v>
      </c>
      <c r="C375" s="437"/>
      <c r="D375" s="438"/>
      <c r="E375" s="32">
        <v>8</v>
      </c>
      <c r="F375" s="22"/>
      <c r="G375" s="22"/>
      <c r="H375" s="22"/>
      <c r="I375" s="22"/>
      <c r="J375" s="22"/>
      <c r="K375" s="22"/>
      <c r="L375" s="22"/>
      <c r="M375" s="22"/>
      <c r="N375" s="22">
        <v>29.44</v>
      </c>
      <c r="O375" s="22"/>
      <c r="P375" s="22">
        <v>1.76</v>
      </c>
      <c r="Q375" s="22">
        <v>0.23</v>
      </c>
      <c r="R375" s="221"/>
      <c r="S375" s="221"/>
    </row>
    <row r="376" spans="1:19" ht="19.5" customHeight="1" x14ac:dyDescent="0.25">
      <c r="A376" s="15"/>
      <c r="B376" s="422" t="s">
        <v>163</v>
      </c>
      <c r="C376" s="423"/>
      <c r="D376" s="424"/>
      <c r="E376" s="27">
        <f t="shared" ref="E376:M376" si="64">SUM(E343,E346,E356,E360,E370,E374)</f>
        <v>3163.5001999999999</v>
      </c>
      <c r="F376" s="22">
        <f t="shared" si="64"/>
        <v>140.180125</v>
      </c>
      <c r="G376" s="22">
        <f t="shared" si="64"/>
        <v>124.57732499999999</v>
      </c>
      <c r="H376" s="22">
        <f t="shared" si="64"/>
        <v>529.05867500000011</v>
      </c>
      <c r="I376" s="22">
        <f t="shared" si="64"/>
        <v>3779.87</v>
      </c>
      <c r="J376" s="22">
        <f t="shared" si="64"/>
        <v>0.56000000000000005</v>
      </c>
      <c r="K376" s="22">
        <f t="shared" si="64"/>
        <v>97.024000000000001</v>
      </c>
      <c r="L376" s="22">
        <f t="shared" si="64"/>
        <v>6.3E-2</v>
      </c>
      <c r="M376" s="22">
        <f t="shared" si="64"/>
        <v>0.14399999999999999</v>
      </c>
      <c r="N376" s="22">
        <f>SUM(N343,N346,N356,N360,N370,N374,N375)</f>
        <v>1389.866925</v>
      </c>
      <c r="O376" s="22">
        <f>SUM(O343,O346,O356,O360,O370,O374)</f>
        <v>273.68</v>
      </c>
      <c r="P376" s="22">
        <f>SUM(P343,P346,P356,P360,P370,P374)</f>
        <v>597.11209999999994</v>
      </c>
      <c r="Q376" s="22">
        <f>SUM(Q343,Q346,Q356,Q360,Q370,Q374)</f>
        <v>41.970750000000002</v>
      </c>
      <c r="R376" s="29"/>
      <c r="S376" s="29"/>
    </row>
    <row r="377" spans="1:19" ht="15.75" customHeight="1" x14ac:dyDescent="0.25">
      <c r="A377" s="4"/>
      <c r="B377" s="43"/>
      <c r="C377" s="43"/>
      <c r="D377" s="43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1"/>
      <c r="S377" s="1"/>
    </row>
    <row r="378" spans="1:19" ht="41.25" customHeight="1" x14ac:dyDescent="0.25">
      <c r="A378" s="523" t="s">
        <v>164</v>
      </c>
      <c r="B378" s="524"/>
      <c r="C378" s="524"/>
      <c r="D378" s="524"/>
      <c r="E378" s="524"/>
      <c r="F378" s="524"/>
      <c r="G378" s="524"/>
      <c r="H378" s="524"/>
      <c r="I378" s="524"/>
      <c r="J378" s="524"/>
      <c r="K378" s="524"/>
      <c r="L378" s="524"/>
      <c r="M378" s="524"/>
      <c r="N378" s="524"/>
      <c r="O378" s="524"/>
      <c r="P378" s="524"/>
      <c r="Q378" s="524"/>
      <c r="R378" s="525"/>
      <c r="S378" s="1"/>
    </row>
    <row r="379" spans="1:19" ht="31.5" customHeight="1" x14ac:dyDescent="0.25">
      <c r="A379" s="526" t="s">
        <v>3</v>
      </c>
      <c r="B379" s="528" t="s">
        <v>4</v>
      </c>
      <c r="C379" s="476"/>
      <c r="D379" s="477"/>
      <c r="E379" s="68" t="s">
        <v>5</v>
      </c>
      <c r="F379" s="530" t="s">
        <v>6</v>
      </c>
      <c r="G379" s="440"/>
      <c r="H379" s="441"/>
      <c r="I379" s="529" t="s">
        <v>7</v>
      </c>
      <c r="J379" s="530" t="s">
        <v>8</v>
      </c>
      <c r="K379" s="440"/>
      <c r="L379" s="440"/>
      <c r="M379" s="441"/>
      <c r="N379" s="530" t="s">
        <v>9</v>
      </c>
      <c r="O379" s="440"/>
      <c r="P379" s="440"/>
      <c r="Q379" s="441"/>
      <c r="R379" s="1"/>
      <c r="S379" s="1"/>
    </row>
    <row r="380" spans="1:19" ht="16.5" customHeight="1" x14ac:dyDescent="0.25">
      <c r="A380" s="527"/>
      <c r="B380" s="478"/>
      <c r="C380" s="479"/>
      <c r="D380" s="480"/>
      <c r="E380" s="69"/>
      <c r="F380" s="33" t="s">
        <v>10</v>
      </c>
      <c r="G380" s="33" t="s">
        <v>11</v>
      </c>
      <c r="H380" s="33" t="s">
        <v>12</v>
      </c>
      <c r="I380" s="527"/>
      <c r="J380" s="34" t="s">
        <v>13</v>
      </c>
      <c r="K380" s="34" t="s">
        <v>14</v>
      </c>
      <c r="L380" s="34" t="s">
        <v>15</v>
      </c>
      <c r="M380" s="35" t="s">
        <v>16</v>
      </c>
      <c r="N380" s="36" t="s">
        <v>17</v>
      </c>
      <c r="O380" s="34" t="s">
        <v>18</v>
      </c>
      <c r="P380" s="34" t="s">
        <v>19</v>
      </c>
      <c r="Q380" s="35" t="s">
        <v>20</v>
      </c>
      <c r="R380" s="1"/>
      <c r="S380" s="1"/>
    </row>
    <row r="381" spans="1:19" ht="15.75" customHeight="1" x14ac:dyDescent="0.25">
      <c r="A381" s="9">
        <v>1</v>
      </c>
      <c r="B381" s="532">
        <v>2</v>
      </c>
      <c r="C381" s="440"/>
      <c r="D381" s="441"/>
      <c r="E381" s="57">
        <v>3</v>
      </c>
      <c r="F381" s="57">
        <v>4</v>
      </c>
      <c r="G381" s="57">
        <v>5</v>
      </c>
      <c r="H381" s="57">
        <v>6</v>
      </c>
      <c r="I381" s="58">
        <v>7</v>
      </c>
      <c r="J381" s="57">
        <v>8</v>
      </c>
      <c r="K381" s="57">
        <v>9</v>
      </c>
      <c r="L381" s="57">
        <v>10</v>
      </c>
      <c r="M381" s="59">
        <v>11</v>
      </c>
      <c r="N381" s="57">
        <v>12</v>
      </c>
      <c r="O381" s="57">
        <v>13</v>
      </c>
      <c r="P381" s="57">
        <v>14</v>
      </c>
      <c r="Q381" s="60">
        <v>15</v>
      </c>
      <c r="R381" s="1"/>
      <c r="S381" s="1"/>
    </row>
    <row r="382" spans="1:19" ht="15.75" customHeight="1" x14ac:dyDescent="0.25">
      <c r="A382" s="201"/>
      <c r="B382" s="522" t="s">
        <v>21</v>
      </c>
      <c r="C382" s="446"/>
      <c r="D382" s="447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"/>
      <c r="S382" s="1"/>
    </row>
    <row r="383" spans="1:19" ht="14.25" customHeight="1" x14ac:dyDescent="0.25">
      <c r="A383" s="106">
        <v>3</v>
      </c>
      <c r="B383" s="439" t="s">
        <v>56</v>
      </c>
      <c r="C383" s="440"/>
      <c r="D383" s="441"/>
      <c r="E383" s="228" t="s">
        <v>23</v>
      </c>
      <c r="F383" s="129">
        <v>5.8</v>
      </c>
      <c r="G383" s="129">
        <v>8.3000000000000007</v>
      </c>
      <c r="H383" s="129">
        <v>14.83</v>
      </c>
      <c r="I383" s="129">
        <v>157</v>
      </c>
      <c r="J383" s="129">
        <v>0.04</v>
      </c>
      <c r="K383" s="129">
        <v>0.04</v>
      </c>
      <c r="L383" s="129">
        <v>0.03</v>
      </c>
      <c r="M383" s="129">
        <v>0.11</v>
      </c>
      <c r="N383" s="129">
        <v>139.19999999999999</v>
      </c>
      <c r="O383" s="129">
        <v>9.4499999999999993</v>
      </c>
      <c r="P383" s="129">
        <v>96</v>
      </c>
      <c r="Q383" s="129">
        <v>0.49</v>
      </c>
      <c r="R383" s="29"/>
      <c r="S383" s="29"/>
    </row>
    <row r="384" spans="1:19" ht="19.5" customHeight="1" x14ac:dyDescent="0.25">
      <c r="A384" s="546">
        <v>223</v>
      </c>
      <c r="B384" s="542" t="s">
        <v>165</v>
      </c>
      <c r="C384" s="476"/>
      <c r="D384" s="477"/>
      <c r="E384" s="115">
        <v>220</v>
      </c>
      <c r="F384" s="546">
        <v>32.229999999999997</v>
      </c>
      <c r="G384" s="546">
        <v>20.14</v>
      </c>
      <c r="H384" s="546">
        <v>34.56</v>
      </c>
      <c r="I384" s="546">
        <v>448.42</v>
      </c>
      <c r="J384" s="546">
        <v>1.2E-2</v>
      </c>
      <c r="K384" s="546">
        <v>0.9</v>
      </c>
      <c r="L384" s="546">
        <v>0</v>
      </c>
      <c r="M384" s="546">
        <v>6.0000000000000001E-3</v>
      </c>
      <c r="N384" s="546">
        <v>0.23</v>
      </c>
      <c r="O384" s="546">
        <v>61.4</v>
      </c>
      <c r="P384" s="546">
        <v>43.8</v>
      </c>
      <c r="Q384" s="546">
        <v>0.04</v>
      </c>
      <c r="R384" s="18"/>
      <c r="S384" s="18"/>
    </row>
    <row r="385" spans="1:19" ht="9" customHeight="1" x14ac:dyDescent="0.25">
      <c r="A385" s="471"/>
      <c r="B385" s="478"/>
      <c r="C385" s="479"/>
      <c r="D385" s="480"/>
      <c r="E385" s="130">
        <f>E384*25/100</f>
        <v>55</v>
      </c>
      <c r="F385" s="471"/>
      <c r="G385" s="471"/>
      <c r="H385" s="471"/>
      <c r="I385" s="471"/>
      <c r="J385" s="471"/>
      <c r="K385" s="471"/>
      <c r="L385" s="471"/>
      <c r="M385" s="471"/>
      <c r="N385" s="471"/>
      <c r="O385" s="471"/>
      <c r="P385" s="471"/>
      <c r="Q385" s="471"/>
      <c r="R385" s="18"/>
      <c r="S385" s="18"/>
    </row>
    <row r="386" spans="1:19" ht="15.75" customHeight="1" x14ac:dyDescent="0.25">
      <c r="A386" s="102">
        <v>382</v>
      </c>
      <c r="B386" s="555" t="s">
        <v>58</v>
      </c>
      <c r="C386" s="440"/>
      <c r="D386" s="441"/>
      <c r="E386" s="130">
        <v>200</v>
      </c>
      <c r="F386" s="131">
        <v>3.76</v>
      </c>
      <c r="G386" s="131">
        <v>3.2</v>
      </c>
      <c r="H386" s="131">
        <v>17.57</v>
      </c>
      <c r="I386" s="131">
        <v>114.12</v>
      </c>
      <c r="J386" s="131">
        <v>0</v>
      </c>
      <c r="K386" s="131">
        <v>1.58</v>
      </c>
      <c r="L386" s="131">
        <v>0</v>
      </c>
      <c r="M386" s="131">
        <v>0</v>
      </c>
      <c r="N386" s="131">
        <v>152.22</v>
      </c>
      <c r="O386" s="131">
        <v>0</v>
      </c>
      <c r="P386" s="131">
        <v>21.34</v>
      </c>
      <c r="Q386" s="131">
        <v>0.47</v>
      </c>
      <c r="R386" s="39"/>
      <c r="S386" s="39"/>
    </row>
    <row r="387" spans="1:19" ht="15.75" customHeight="1" x14ac:dyDescent="0.25">
      <c r="A387" s="106" t="s">
        <v>27</v>
      </c>
      <c r="B387" s="439" t="s">
        <v>28</v>
      </c>
      <c r="C387" s="440"/>
      <c r="D387" s="441"/>
      <c r="E387" s="99">
        <v>45</v>
      </c>
      <c r="F387" s="117">
        <f>2.26*E387/30</f>
        <v>3.3899999999999997</v>
      </c>
      <c r="G387" s="117">
        <f>0.23*E387/30</f>
        <v>0.34499999999999997</v>
      </c>
      <c r="H387" s="117">
        <f>14.66*E387/30</f>
        <v>21.990000000000002</v>
      </c>
      <c r="I387" s="117">
        <f>68.86*E387/30</f>
        <v>103.28999999999999</v>
      </c>
      <c r="J387" s="117">
        <v>0</v>
      </c>
      <c r="K387" s="117">
        <v>0</v>
      </c>
      <c r="L387" s="117">
        <v>0</v>
      </c>
      <c r="M387" s="117">
        <v>0</v>
      </c>
      <c r="N387" s="117">
        <f>12.97*E387/30</f>
        <v>19.454999999999998</v>
      </c>
      <c r="O387" s="117">
        <v>0</v>
      </c>
      <c r="P387" s="117">
        <f>2.83*E387/30</f>
        <v>4.2450000000000001</v>
      </c>
      <c r="Q387" s="117">
        <f>0.74*E387/30</f>
        <v>1.1099999999999999</v>
      </c>
      <c r="R387" s="39"/>
      <c r="S387" s="39"/>
    </row>
    <row r="388" spans="1:19" ht="15.75" customHeight="1" x14ac:dyDescent="0.25">
      <c r="A388" s="102"/>
      <c r="B388" s="713" t="s">
        <v>29</v>
      </c>
      <c r="C388" s="472"/>
      <c r="D388" s="473"/>
      <c r="E388" s="229">
        <f>SUM(E383:E386)+5+15+30</f>
        <v>525</v>
      </c>
      <c r="F388" s="196">
        <f t="shared" ref="F388:Q388" si="65">SUM(F383:F386)</f>
        <v>41.789999999999992</v>
      </c>
      <c r="G388" s="196">
        <f t="shared" si="65"/>
        <v>31.64</v>
      </c>
      <c r="H388" s="196">
        <f t="shared" si="65"/>
        <v>66.960000000000008</v>
      </c>
      <c r="I388" s="196">
        <f t="shared" si="65"/>
        <v>719.54000000000008</v>
      </c>
      <c r="J388" s="196">
        <f t="shared" si="65"/>
        <v>5.2000000000000005E-2</v>
      </c>
      <c r="K388" s="196">
        <f t="shared" si="65"/>
        <v>2.52</v>
      </c>
      <c r="L388" s="196">
        <f t="shared" si="65"/>
        <v>0.03</v>
      </c>
      <c r="M388" s="196">
        <f t="shared" si="65"/>
        <v>0.11600000000000001</v>
      </c>
      <c r="N388" s="196">
        <f t="shared" si="65"/>
        <v>291.64999999999998</v>
      </c>
      <c r="O388" s="196">
        <f t="shared" si="65"/>
        <v>70.849999999999994</v>
      </c>
      <c r="P388" s="196">
        <f t="shared" si="65"/>
        <v>161.14000000000001</v>
      </c>
      <c r="Q388" s="196">
        <f t="shared" si="65"/>
        <v>1</v>
      </c>
      <c r="R388" s="39"/>
      <c r="S388" s="39"/>
    </row>
    <row r="389" spans="1:19" ht="15.75" customHeight="1" x14ac:dyDescent="0.25">
      <c r="A389" s="201"/>
      <c r="B389" s="522" t="s">
        <v>30</v>
      </c>
      <c r="C389" s="446"/>
      <c r="D389" s="447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"/>
      <c r="S389" s="1"/>
    </row>
    <row r="390" spans="1:19" ht="15.75" customHeight="1" x14ac:dyDescent="0.25">
      <c r="A390" s="106">
        <v>338</v>
      </c>
      <c r="B390" s="439" t="s">
        <v>31</v>
      </c>
      <c r="C390" s="440"/>
      <c r="D390" s="441"/>
      <c r="E390" s="133">
        <v>300</v>
      </c>
      <c r="F390" s="133">
        <v>4.5</v>
      </c>
      <c r="G390" s="134">
        <v>1.5</v>
      </c>
      <c r="H390" s="133">
        <v>27</v>
      </c>
      <c r="I390" s="133">
        <v>285</v>
      </c>
      <c r="J390" s="133">
        <v>0</v>
      </c>
      <c r="K390" s="133">
        <v>30</v>
      </c>
      <c r="L390" s="133">
        <v>0</v>
      </c>
      <c r="M390" s="133">
        <v>0</v>
      </c>
      <c r="N390" s="133">
        <v>24</v>
      </c>
      <c r="O390" s="133">
        <v>0</v>
      </c>
      <c r="P390" s="133">
        <v>126</v>
      </c>
      <c r="Q390" s="133">
        <v>2.1</v>
      </c>
      <c r="R390" s="1"/>
      <c r="S390" s="1"/>
    </row>
    <row r="391" spans="1:19" ht="15.75" customHeight="1" x14ac:dyDescent="0.25">
      <c r="A391" s="106"/>
      <c r="B391" s="442" t="s">
        <v>112</v>
      </c>
      <c r="C391" s="472"/>
      <c r="D391" s="473"/>
      <c r="E391" s="106">
        <f t="shared" ref="E391:Q391" si="66">SUM(E390)</f>
        <v>300</v>
      </c>
      <c r="F391" s="106">
        <f t="shared" si="66"/>
        <v>4.5</v>
      </c>
      <c r="G391" s="132">
        <f t="shared" si="66"/>
        <v>1.5</v>
      </c>
      <c r="H391" s="106">
        <f t="shared" si="66"/>
        <v>27</v>
      </c>
      <c r="I391" s="106">
        <f t="shared" si="66"/>
        <v>285</v>
      </c>
      <c r="J391" s="106">
        <f t="shared" si="66"/>
        <v>0</v>
      </c>
      <c r="K391" s="106">
        <f t="shared" si="66"/>
        <v>30</v>
      </c>
      <c r="L391" s="106">
        <f t="shared" si="66"/>
        <v>0</v>
      </c>
      <c r="M391" s="106">
        <f t="shared" si="66"/>
        <v>0</v>
      </c>
      <c r="N391" s="106">
        <f t="shared" si="66"/>
        <v>24</v>
      </c>
      <c r="O391" s="106">
        <f t="shared" si="66"/>
        <v>0</v>
      </c>
      <c r="P391" s="106">
        <f t="shared" si="66"/>
        <v>126</v>
      </c>
      <c r="Q391" s="106">
        <f t="shared" si="66"/>
        <v>2.1</v>
      </c>
      <c r="R391" s="731"/>
      <c r="S391" s="575"/>
    </row>
    <row r="392" spans="1:19" ht="15.75" customHeight="1" x14ac:dyDescent="0.25">
      <c r="A392" s="201"/>
      <c r="B392" s="522" t="s">
        <v>33</v>
      </c>
      <c r="C392" s="446"/>
      <c r="D392" s="447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"/>
      <c r="S392" s="1"/>
    </row>
    <row r="393" spans="1:19" ht="15.75" customHeight="1" x14ac:dyDescent="0.25">
      <c r="A393" s="115">
        <v>71</v>
      </c>
      <c r="B393" s="448" t="s">
        <v>166</v>
      </c>
      <c r="C393" s="440"/>
      <c r="D393" s="441"/>
      <c r="E393" s="95">
        <v>100</v>
      </c>
      <c r="F393" s="129">
        <f>0.8*E393/100</f>
        <v>0.8</v>
      </c>
      <c r="G393" s="129">
        <f>0*E393/100</f>
        <v>0</v>
      </c>
      <c r="H393" s="129">
        <f>3.4*E393/100</f>
        <v>3.4</v>
      </c>
      <c r="I393" s="129">
        <f>16.8*E393/100</f>
        <v>16.8</v>
      </c>
      <c r="J393" s="129" t="s">
        <v>35</v>
      </c>
      <c r="K393" s="129">
        <f>10*E393/100</f>
        <v>10</v>
      </c>
      <c r="L393" s="129">
        <f>0*E393/100</f>
        <v>0</v>
      </c>
      <c r="M393" s="129">
        <f>0*E393/100</f>
        <v>0</v>
      </c>
      <c r="N393" s="129">
        <f>23*E393/100</f>
        <v>23</v>
      </c>
      <c r="O393" s="129">
        <f>0*E393/100</f>
        <v>0</v>
      </c>
      <c r="P393" s="129">
        <f>13*E393/100</f>
        <v>13</v>
      </c>
      <c r="Q393" s="129">
        <f>0.6*E393/100</f>
        <v>0.6</v>
      </c>
      <c r="R393" s="70"/>
      <c r="S393" s="29"/>
    </row>
    <row r="394" spans="1:19" ht="33" customHeight="1" x14ac:dyDescent="0.25">
      <c r="A394" s="115">
        <v>88</v>
      </c>
      <c r="B394" s="544" t="s">
        <v>34</v>
      </c>
      <c r="C394" s="440"/>
      <c r="D394" s="441"/>
      <c r="E394" s="94">
        <v>300</v>
      </c>
      <c r="F394" s="149">
        <f>1.76*E394/250</f>
        <v>2.1120000000000001</v>
      </c>
      <c r="G394" s="149">
        <f>4.95*E394/250</f>
        <v>5.94</v>
      </c>
      <c r="H394" s="149">
        <f>11.5*E394/250</f>
        <v>13.8</v>
      </c>
      <c r="I394" s="149">
        <f>97.59*E394/250</f>
        <v>117.108</v>
      </c>
      <c r="J394" s="149" t="s">
        <v>35</v>
      </c>
      <c r="K394" s="149">
        <f>22*E394/250</f>
        <v>26.4</v>
      </c>
      <c r="L394" s="149">
        <v>0</v>
      </c>
      <c r="M394" s="149">
        <f>22*E394/250</f>
        <v>26.4</v>
      </c>
      <c r="N394" s="149">
        <f>50*E394/250</f>
        <v>60</v>
      </c>
      <c r="O394" s="180">
        <v>0</v>
      </c>
      <c r="P394" s="149">
        <f>34.25*E394/250</f>
        <v>41.1</v>
      </c>
      <c r="Q394" s="149">
        <f>0.75*E394/250</f>
        <v>0.9</v>
      </c>
      <c r="R394" s="29"/>
      <c r="S394" s="29"/>
    </row>
    <row r="395" spans="1:19" ht="30" customHeight="1" x14ac:dyDescent="0.25">
      <c r="A395" s="533">
        <v>229</v>
      </c>
      <c r="B395" s="542" t="s">
        <v>63</v>
      </c>
      <c r="C395" s="476"/>
      <c r="D395" s="477"/>
      <c r="E395" s="199">
        <v>120</v>
      </c>
      <c r="F395" s="602">
        <f>30.8*E395/100</f>
        <v>36.96</v>
      </c>
      <c r="G395" s="531">
        <f>33.8*E395/100</f>
        <v>40.559999999999995</v>
      </c>
      <c r="H395" s="531">
        <f>7.4*E395/100</f>
        <v>8.8800000000000008</v>
      </c>
      <c r="I395" s="531">
        <f>455.02*E395/100</f>
        <v>546.02399999999989</v>
      </c>
      <c r="J395" s="531">
        <f>0*E395/100</f>
        <v>0</v>
      </c>
      <c r="K395" s="531">
        <f>1.84*E395/100</f>
        <v>2.2080000000000002</v>
      </c>
      <c r="L395" s="531">
        <f>0*E395/100</f>
        <v>0</v>
      </c>
      <c r="M395" s="531">
        <f>0*E395/100</f>
        <v>0</v>
      </c>
      <c r="N395" s="531">
        <f>43.62*E395/100</f>
        <v>52.343999999999994</v>
      </c>
      <c r="O395" s="531">
        <f>0*E395/100</f>
        <v>0</v>
      </c>
      <c r="P395" s="531">
        <f>44.06*E395/100</f>
        <v>52.872000000000007</v>
      </c>
      <c r="Q395" s="531">
        <f>6.12*E395/100</f>
        <v>7.3439999999999994</v>
      </c>
      <c r="R395" s="39"/>
      <c r="S395" s="39"/>
    </row>
    <row r="396" spans="1:19" ht="15.75" customHeight="1" x14ac:dyDescent="0.25">
      <c r="A396" s="601"/>
      <c r="B396" s="478"/>
      <c r="C396" s="479"/>
      <c r="D396" s="480"/>
      <c r="E396" s="137">
        <f>E395*100/100</f>
        <v>120</v>
      </c>
      <c r="F396" s="603"/>
      <c r="G396" s="471"/>
      <c r="H396" s="471"/>
      <c r="I396" s="471"/>
      <c r="J396" s="471"/>
      <c r="K396" s="471"/>
      <c r="L396" s="471"/>
      <c r="M396" s="471"/>
      <c r="N396" s="471"/>
      <c r="O396" s="471"/>
      <c r="P396" s="471"/>
      <c r="Q396" s="471"/>
      <c r="R396" s="29"/>
      <c r="S396" s="29"/>
    </row>
    <row r="397" spans="1:19" ht="15.75" customHeight="1" x14ac:dyDescent="0.25">
      <c r="A397" s="126">
        <v>312</v>
      </c>
      <c r="B397" s="439" t="s">
        <v>64</v>
      </c>
      <c r="C397" s="440"/>
      <c r="D397" s="441"/>
      <c r="E397" s="137">
        <v>220</v>
      </c>
      <c r="F397" s="117">
        <f>4.16*E397/200</f>
        <v>4.5760000000000005</v>
      </c>
      <c r="G397" s="117">
        <f>6.8*E397/200</f>
        <v>7.48</v>
      </c>
      <c r="H397" s="117">
        <f>24.76*E397/200</f>
        <v>27.236000000000004</v>
      </c>
      <c r="I397" s="117">
        <f>176.88*E397/200</f>
        <v>194.56799999999998</v>
      </c>
      <c r="J397" s="117">
        <f>0*E397/200</f>
        <v>0</v>
      </c>
      <c r="K397" s="117">
        <f>23.7*E397/200</f>
        <v>26.07</v>
      </c>
      <c r="L397" s="117">
        <f>0*E397/200</f>
        <v>0</v>
      </c>
      <c r="M397" s="117">
        <f>0*E397/200</f>
        <v>0</v>
      </c>
      <c r="N397" s="117">
        <f>49.54*E397/200</f>
        <v>54.494</v>
      </c>
      <c r="O397" s="117">
        <f>0*E397/200</f>
        <v>0</v>
      </c>
      <c r="P397" s="117">
        <f>31.32*E397/200</f>
        <v>34.451999999999998</v>
      </c>
      <c r="Q397" s="117">
        <f>1.09*E397/200</f>
        <v>1.1990000000000001</v>
      </c>
      <c r="R397" s="29"/>
      <c r="S397" s="29"/>
    </row>
    <row r="398" spans="1:19" ht="15.75" customHeight="1" x14ac:dyDescent="0.25">
      <c r="A398" s="106">
        <v>342</v>
      </c>
      <c r="B398" s="439" t="s">
        <v>38</v>
      </c>
      <c r="C398" s="440"/>
      <c r="D398" s="441"/>
      <c r="E398" s="100">
        <v>200</v>
      </c>
      <c r="F398" s="117">
        <v>0.08</v>
      </c>
      <c r="G398" s="117">
        <v>0</v>
      </c>
      <c r="H398" s="117">
        <v>21.82</v>
      </c>
      <c r="I398" s="117">
        <v>87.6</v>
      </c>
      <c r="J398" s="117">
        <v>0</v>
      </c>
      <c r="K398" s="117">
        <v>2.25</v>
      </c>
      <c r="L398" s="117">
        <v>0</v>
      </c>
      <c r="M398" s="117">
        <v>0</v>
      </c>
      <c r="N398" s="117">
        <v>17</v>
      </c>
      <c r="O398" s="117">
        <v>0</v>
      </c>
      <c r="P398" s="117">
        <v>9</v>
      </c>
      <c r="Q398" s="117">
        <v>2.2000000000000002</v>
      </c>
      <c r="R398" s="29"/>
      <c r="S398" s="29"/>
    </row>
    <row r="399" spans="1:19" ht="15.75" customHeight="1" x14ac:dyDescent="0.25">
      <c r="A399" s="106" t="s">
        <v>27</v>
      </c>
      <c r="B399" s="41" t="s">
        <v>39</v>
      </c>
      <c r="C399" s="41"/>
      <c r="D399" s="41"/>
      <c r="E399" s="99">
        <v>120</v>
      </c>
      <c r="F399" s="117">
        <f>4.03*E399/50</f>
        <v>9.6720000000000006</v>
      </c>
      <c r="G399" s="117">
        <f>0.5*E399/50</f>
        <v>1.2</v>
      </c>
      <c r="H399" s="117">
        <f>22.36*E399/50</f>
        <v>53.663999999999994</v>
      </c>
      <c r="I399" s="117">
        <f>98.86*E399/50</f>
        <v>237.26400000000001</v>
      </c>
      <c r="J399" s="117">
        <v>0</v>
      </c>
      <c r="K399" s="117">
        <v>0</v>
      </c>
      <c r="L399" s="117">
        <v>0</v>
      </c>
      <c r="M399" s="117">
        <v>0</v>
      </c>
      <c r="N399" s="117">
        <f>17.59*E399/50</f>
        <v>42.216000000000001</v>
      </c>
      <c r="O399" s="117">
        <v>0</v>
      </c>
      <c r="P399" s="117">
        <f>1.89*E399/50</f>
        <v>4.5359999999999996</v>
      </c>
      <c r="Q399" s="117">
        <f>0.88*E399/50</f>
        <v>2.1120000000000001</v>
      </c>
      <c r="R399" s="17"/>
      <c r="S399" s="17"/>
    </row>
    <row r="400" spans="1:19" ht="15.75" customHeight="1" x14ac:dyDescent="0.25">
      <c r="A400" s="106" t="s">
        <v>27</v>
      </c>
      <c r="B400" s="439" t="s">
        <v>28</v>
      </c>
      <c r="C400" s="440"/>
      <c r="D400" s="441"/>
      <c r="E400" s="99">
        <v>45</v>
      </c>
      <c r="F400" s="117">
        <f>2.26*E400/30</f>
        <v>3.3899999999999997</v>
      </c>
      <c r="G400" s="117">
        <f>0.23*E400/30</f>
        <v>0.34499999999999997</v>
      </c>
      <c r="H400" s="117">
        <f>14.66*E400/30</f>
        <v>21.990000000000002</v>
      </c>
      <c r="I400" s="117">
        <f>68.86*E400/30</f>
        <v>103.28999999999999</v>
      </c>
      <c r="J400" s="117">
        <v>0</v>
      </c>
      <c r="K400" s="117">
        <v>0</v>
      </c>
      <c r="L400" s="117">
        <v>0</v>
      </c>
      <c r="M400" s="117">
        <v>0</v>
      </c>
      <c r="N400" s="117">
        <f>12.97*E400/30</f>
        <v>19.454999999999998</v>
      </c>
      <c r="O400" s="117">
        <v>0</v>
      </c>
      <c r="P400" s="117">
        <f>2.83*E400/30</f>
        <v>4.2450000000000001</v>
      </c>
      <c r="Q400" s="117">
        <f>0.74*E400/30</f>
        <v>1.1099999999999999</v>
      </c>
      <c r="R400" s="17"/>
      <c r="S400" s="17"/>
    </row>
    <row r="401" spans="1:19" ht="14.25" customHeight="1" x14ac:dyDescent="0.25">
      <c r="A401" s="106"/>
      <c r="B401" s="442" t="s">
        <v>65</v>
      </c>
      <c r="C401" s="443"/>
      <c r="D401" s="444"/>
      <c r="E401" s="100">
        <f t="shared" ref="E401:Q401" si="67">SUM(E393:E400)</f>
        <v>1225</v>
      </c>
      <c r="F401" s="117">
        <f t="shared" si="67"/>
        <v>57.59</v>
      </c>
      <c r="G401" s="117">
        <f t="shared" si="67"/>
        <v>55.524999999999991</v>
      </c>
      <c r="H401" s="117">
        <f t="shared" si="67"/>
        <v>150.79</v>
      </c>
      <c r="I401" s="117">
        <f t="shared" si="67"/>
        <v>1302.654</v>
      </c>
      <c r="J401" s="117">
        <f t="shared" si="67"/>
        <v>0</v>
      </c>
      <c r="K401" s="117">
        <f t="shared" si="67"/>
        <v>66.927999999999997</v>
      </c>
      <c r="L401" s="117">
        <f t="shared" si="67"/>
        <v>0</v>
      </c>
      <c r="M401" s="117">
        <f t="shared" si="67"/>
        <v>26.4</v>
      </c>
      <c r="N401" s="117">
        <f t="shared" si="67"/>
        <v>268.50900000000001</v>
      </c>
      <c r="O401" s="117">
        <f t="shared" si="67"/>
        <v>0</v>
      </c>
      <c r="P401" s="117">
        <f t="shared" si="67"/>
        <v>159.20500000000001</v>
      </c>
      <c r="Q401" s="117">
        <f t="shared" si="67"/>
        <v>15.464999999999998</v>
      </c>
      <c r="R401" s="29"/>
      <c r="S401" s="29"/>
    </row>
    <row r="402" spans="1:19" ht="18" customHeight="1" x14ac:dyDescent="0.25">
      <c r="A402" s="201"/>
      <c r="B402" s="445" t="s">
        <v>41</v>
      </c>
      <c r="C402" s="446"/>
      <c r="D402" s="447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"/>
      <c r="S402" s="1"/>
    </row>
    <row r="403" spans="1:19" ht="18" customHeight="1" x14ac:dyDescent="0.25">
      <c r="A403" s="157" t="s">
        <v>84</v>
      </c>
      <c r="B403" s="448" t="s">
        <v>101</v>
      </c>
      <c r="C403" s="440"/>
      <c r="D403" s="441"/>
      <c r="E403" s="115">
        <v>150</v>
      </c>
      <c r="F403" s="115">
        <f>6.83*E403/100</f>
        <v>10.244999999999999</v>
      </c>
      <c r="G403" s="115">
        <f>5.33*E403/100</f>
        <v>7.9950000000000001</v>
      </c>
      <c r="H403" s="115">
        <f>39.3*E403/100</f>
        <v>58.95</v>
      </c>
      <c r="I403" s="115">
        <f>234*E403/100</f>
        <v>351</v>
      </c>
      <c r="J403" s="115">
        <v>0</v>
      </c>
      <c r="K403" s="115">
        <f>0.85*E403/100</f>
        <v>1.2749999999999999</v>
      </c>
      <c r="L403" s="115">
        <v>0</v>
      </c>
      <c r="M403" s="115">
        <v>0</v>
      </c>
      <c r="N403" s="115">
        <f>22.83*E403/100</f>
        <v>34.244999999999997</v>
      </c>
      <c r="O403" s="115">
        <v>0</v>
      </c>
      <c r="P403" s="115">
        <f>28*E403/100</f>
        <v>42</v>
      </c>
      <c r="Q403" s="115">
        <f>1.35*E403/100</f>
        <v>2.0249999999999999</v>
      </c>
      <c r="R403" s="29"/>
      <c r="S403" s="29"/>
    </row>
    <row r="404" spans="1:19" ht="15.75" customHeight="1" x14ac:dyDescent="0.25">
      <c r="A404" s="106">
        <v>379</v>
      </c>
      <c r="B404" s="439" t="s">
        <v>26</v>
      </c>
      <c r="C404" s="440"/>
      <c r="D404" s="441"/>
      <c r="E404" s="115">
        <v>200</v>
      </c>
      <c r="F404" s="115">
        <v>3.58</v>
      </c>
      <c r="G404" s="115">
        <v>2.68</v>
      </c>
      <c r="H404" s="115">
        <v>28.34</v>
      </c>
      <c r="I404" s="115">
        <v>151.80000000000001</v>
      </c>
      <c r="J404" s="115">
        <v>0.02</v>
      </c>
      <c r="K404" s="115">
        <v>0.04</v>
      </c>
      <c r="L404" s="115">
        <v>0.1</v>
      </c>
      <c r="M404" s="115">
        <v>1.3</v>
      </c>
      <c r="N404" s="115">
        <v>125.78</v>
      </c>
      <c r="O404" s="115">
        <v>0</v>
      </c>
      <c r="P404" s="115">
        <v>14</v>
      </c>
      <c r="Q404" s="115">
        <v>0.13</v>
      </c>
      <c r="R404" s="29"/>
      <c r="S404" s="29"/>
    </row>
    <row r="405" spans="1:19" ht="18" customHeight="1" x14ac:dyDescent="0.25">
      <c r="A405" s="106"/>
      <c r="B405" s="442" t="s">
        <v>86</v>
      </c>
      <c r="C405" s="472"/>
      <c r="D405" s="473"/>
      <c r="E405" s="106">
        <f>E404+E403</f>
        <v>350</v>
      </c>
      <c r="F405" s="106">
        <f t="shared" ref="F405:Q405" si="68">F403+F404</f>
        <v>13.824999999999999</v>
      </c>
      <c r="G405" s="106">
        <f t="shared" si="68"/>
        <v>10.675000000000001</v>
      </c>
      <c r="H405" s="106">
        <f t="shared" si="68"/>
        <v>87.29</v>
      </c>
      <c r="I405" s="106">
        <f t="shared" si="68"/>
        <v>502.8</v>
      </c>
      <c r="J405" s="106">
        <f t="shared" si="68"/>
        <v>0.02</v>
      </c>
      <c r="K405" s="106">
        <f t="shared" si="68"/>
        <v>1.3149999999999999</v>
      </c>
      <c r="L405" s="106">
        <f t="shared" si="68"/>
        <v>0.1</v>
      </c>
      <c r="M405" s="106">
        <f t="shared" si="68"/>
        <v>1.3</v>
      </c>
      <c r="N405" s="106">
        <f t="shared" si="68"/>
        <v>160.02500000000001</v>
      </c>
      <c r="O405" s="106">
        <f t="shared" si="68"/>
        <v>0</v>
      </c>
      <c r="P405" s="106">
        <f t="shared" si="68"/>
        <v>56</v>
      </c>
      <c r="Q405" s="106">
        <f t="shared" si="68"/>
        <v>2.1549999999999998</v>
      </c>
      <c r="R405" s="29"/>
      <c r="S405" s="29"/>
    </row>
    <row r="406" spans="1:19" ht="16.5" customHeight="1" x14ac:dyDescent="0.25">
      <c r="A406" s="201"/>
      <c r="B406" s="474" t="s">
        <v>44</v>
      </c>
      <c r="C406" s="446"/>
      <c r="D406" s="447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"/>
      <c r="S406" s="1"/>
    </row>
    <row r="407" spans="1:19" ht="15.75" customHeight="1" x14ac:dyDescent="0.25">
      <c r="A407" s="470">
        <v>295</v>
      </c>
      <c r="B407" s="475" t="s">
        <v>118</v>
      </c>
      <c r="C407" s="476"/>
      <c r="D407" s="477"/>
      <c r="E407" s="122">
        <v>120</v>
      </c>
      <c r="F407" s="470">
        <f>15.3*(E407+E408)/(100+10)</f>
        <v>18.360000000000003</v>
      </c>
      <c r="G407" s="470">
        <f>29.4*(E407+E408)/(100+10)</f>
        <v>35.279999999999994</v>
      </c>
      <c r="H407" s="470">
        <f>15.46*(E407+E408)/(100+10)</f>
        <v>18.552</v>
      </c>
      <c r="I407" s="470">
        <f>388*(E407+E408)/(100+10)</f>
        <v>465.6</v>
      </c>
      <c r="J407" s="470">
        <v>0</v>
      </c>
      <c r="K407" s="470">
        <f>1.04*(E407+E408)/(100+10)</f>
        <v>1.248</v>
      </c>
      <c r="L407" s="470">
        <v>0</v>
      </c>
      <c r="M407" s="470">
        <v>0</v>
      </c>
      <c r="N407" s="470">
        <f>55.54*(E407+E408)/(100+10)</f>
        <v>66.647999999999996</v>
      </c>
      <c r="O407" s="470">
        <v>0</v>
      </c>
      <c r="P407" s="470">
        <f>20.8*(E407+E408)/(100+10)</f>
        <v>24.96</v>
      </c>
      <c r="Q407" s="470">
        <f>1.42*(E407+E408)/(100+10)</f>
        <v>1.704</v>
      </c>
      <c r="R407" s="17"/>
      <c r="S407" s="17"/>
    </row>
    <row r="408" spans="1:19" ht="15.75" customHeight="1" x14ac:dyDescent="0.25">
      <c r="A408" s="471"/>
      <c r="B408" s="478"/>
      <c r="C408" s="479"/>
      <c r="D408" s="480"/>
      <c r="E408" s="200">
        <f>E407*10/100</f>
        <v>12</v>
      </c>
      <c r="F408" s="471"/>
      <c r="G408" s="471"/>
      <c r="H408" s="471"/>
      <c r="I408" s="471"/>
      <c r="J408" s="471"/>
      <c r="K408" s="471"/>
      <c r="L408" s="471"/>
      <c r="M408" s="471"/>
      <c r="N408" s="471"/>
      <c r="O408" s="471"/>
      <c r="P408" s="471"/>
      <c r="Q408" s="471"/>
      <c r="R408" s="17"/>
      <c r="S408" s="17"/>
    </row>
    <row r="409" spans="1:19" ht="16.5" customHeight="1" x14ac:dyDescent="0.25">
      <c r="A409" s="106">
        <v>321</v>
      </c>
      <c r="B409" s="439" t="s">
        <v>167</v>
      </c>
      <c r="C409" s="440"/>
      <c r="D409" s="441"/>
      <c r="E409" s="95">
        <v>200</v>
      </c>
      <c r="F409" s="129">
        <f>4.13*E409/200</f>
        <v>4.13</v>
      </c>
      <c r="G409" s="129">
        <f>6.47*E409/200</f>
        <v>6.47</v>
      </c>
      <c r="H409" s="129">
        <f>18.85*E409/200</f>
        <v>18.850000000000001</v>
      </c>
      <c r="I409" s="129">
        <f>150.2*E409/200</f>
        <v>150.19999999999999</v>
      </c>
      <c r="J409" s="129"/>
      <c r="K409" s="129">
        <f>34.32*E409/200</f>
        <v>34.32</v>
      </c>
      <c r="L409" s="129">
        <v>0</v>
      </c>
      <c r="M409" s="129"/>
      <c r="N409" s="129">
        <f>110.9*E409/200</f>
        <v>110.9</v>
      </c>
      <c r="O409" s="129">
        <v>0</v>
      </c>
      <c r="P409" s="129">
        <f>41.3*E409/200</f>
        <v>41.3</v>
      </c>
      <c r="Q409" s="129">
        <f>1.61*E409/200</f>
        <v>1.61</v>
      </c>
      <c r="R409" s="17"/>
      <c r="S409" s="17"/>
    </row>
    <row r="410" spans="1:19" ht="15.75" customHeight="1" x14ac:dyDescent="0.25">
      <c r="A410" s="106">
        <v>389</v>
      </c>
      <c r="B410" s="439" t="s">
        <v>168</v>
      </c>
      <c r="C410" s="440"/>
      <c r="D410" s="441"/>
      <c r="E410" s="100">
        <v>180</v>
      </c>
      <c r="F410" s="117">
        <v>1</v>
      </c>
      <c r="G410" s="117">
        <v>0</v>
      </c>
      <c r="H410" s="117">
        <v>20.2</v>
      </c>
      <c r="I410" s="117">
        <v>84.8</v>
      </c>
      <c r="J410" s="117">
        <v>0</v>
      </c>
      <c r="K410" s="117">
        <v>4</v>
      </c>
      <c r="L410" s="117">
        <v>0</v>
      </c>
      <c r="M410" s="117">
        <v>0</v>
      </c>
      <c r="N410" s="117">
        <v>14</v>
      </c>
      <c r="O410" s="117">
        <v>0</v>
      </c>
      <c r="P410" s="117">
        <v>8</v>
      </c>
      <c r="Q410" s="117">
        <v>2.8</v>
      </c>
      <c r="R410" s="29"/>
      <c r="S410" s="29"/>
    </row>
    <row r="411" spans="1:19" ht="15.75" customHeight="1" x14ac:dyDescent="0.25">
      <c r="A411" s="106" t="s">
        <v>27</v>
      </c>
      <c r="B411" s="41" t="s">
        <v>39</v>
      </c>
      <c r="C411" s="41"/>
      <c r="D411" s="41"/>
      <c r="E411" s="99">
        <v>75</v>
      </c>
      <c r="F411" s="117">
        <f>4.03*E411/50</f>
        <v>6.0449999999999999</v>
      </c>
      <c r="G411" s="117">
        <f>0.5*E411/50</f>
        <v>0.75</v>
      </c>
      <c r="H411" s="117">
        <f>22.36*E411/50</f>
        <v>33.54</v>
      </c>
      <c r="I411" s="117">
        <f>98.86*E411/50</f>
        <v>148.29</v>
      </c>
      <c r="J411" s="117">
        <v>0</v>
      </c>
      <c r="K411" s="117">
        <v>0</v>
      </c>
      <c r="L411" s="117">
        <v>0</v>
      </c>
      <c r="M411" s="117">
        <v>0</v>
      </c>
      <c r="N411" s="117">
        <f>17.59*E411/50</f>
        <v>26.385000000000002</v>
      </c>
      <c r="O411" s="117">
        <v>0</v>
      </c>
      <c r="P411" s="117">
        <f>1.89*E411/50</f>
        <v>2.835</v>
      </c>
      <c r="Q411" s="117">
        <f>0.88*E411/50</f>
        <v>1.32</v>
      </c>
      <c r="R411" s="17"/>
      <c r="S411" s="17"/>
    </row>
    <row r="412" spans="1:19" ht="15.75" customHeight="1" x14ac:dyDescent="0.25">
      <c r="A412" s="106" t="s">
        <v>27</v>
      </c>
      <c r="B412" s="439" t="s">
        <v>28</v>
      </c>
      <c r="C412" s="440"/>
      <c r="D412" s="441"/>
      <c r="E412" s="99">
        <v>45</v>
      </c>
      <c r="F412" s="117">
        <f>2.26*E412/30</f>
        <v>3.3899999999999997</v>
      </c>
      <c r="G412" s="117">
        <f>0.23*E412/30</f>
        <v>0.34499999999999997</v>
      </c>
      <c r="H412" s="117">
        <f>14.66*E412/30</f>
        <v>21.990000000000002</v>
      </c>
      <c r="I412" s="117">
        <f>68.86*E412/30</f>
        <v>103.28999999999999</v>
      </c>
      <c r="J412" s="117">
        <v>0</v>
      </c>
      <c r="K412" s="117">
        <v>0</v>
      </c>
      <c r="L412" s="117">
        <v>0</v>
      </c>
      <c r="M412" s="117">
        <v>0</v>
      </c>
      <c r="N412" s="117">
        <f>12.97*E412/30</f>
        <v>19.454999999999998</v>
      </c>
      <c r="O412" s="117">
        <v>0</v>
      </c>
      <c r="P412" s="117">
        <f>2.83*E412/30</f>
        <v>4.2450000000000001</v>
      </c>
      <c r="Q412" s="117">
        <f>0.74*E412/30</f>
        <v>1.1099999999999999</v>
      </c>
      <c r="R412" s="17"/>
      <c r="S412" s="17"/>
    </row>
    <row r="413" spans="1:19" ht="15.75" customHeight="1" x14ac:dyDescent="0.25">
      <c r="A413" s="106"/>
      <c r="B413" s="442" t="s">
        <v>72</v>
      </c>
      <c r="C413" s="472"/>
      <c r="D413" s="473"/>
      <c r="E413" s="106">
        <f t="shared" ref="E413:Q413" si="69">SUM(E407:E411)</f>
        <v>587</v>
      </c>
      <c r="F413" s="106">
        <f t="shared" si="69"/>
        <v>29.535000000000004</v>
      </c>
      <c r="G413" s="106">
        <f t="shared" si="69"/>
        <v>42.499999999999993</v>
      </c>
      <c r="H413" s="106">
        <f t="shared" si="69"/>
        <v>91.141999999999996</v>
      </c>
      <c r="I413" s="106">
        <f t="shared" si="69"/>
        <v>848.88999999999987</v>
      </c>
      <c r="J413" s="106">
        <f t="shared" si="69"/>
        <v>0</v>
      </c>
      <c r="K413" s="106">
        <f t="shared" si="69"/>
        <v>39.567999999999998</v>
      </c>
      <c r="L413" s="106">
        <f t="shared" si="69"/>
        <v>0</v>
      </c>
      <c r="M413" s="106">
        <f t="shared" si="69"/>
        <v>0</v>
      </c>
      <c r="N413" s="106">
        <f t="shared" si="69"/>
        <v>217.93299999999999</v>
      </c>
      <c r="O413" s="106">
        <f t="shared" si="69"/>
        <v>0</v>
      </c>
      <c r="P413" s="106">
        <f t="shared" si="69"/>
        <v>77.094999999999985</v>
      </c>
      <c r="Q413" s="106">
        <f t="shared" si="69"/>
        <v>7.4340000000000002</v>
      </c>
      <c r="R413" s="29"/>
      <c r="S413" s="29"/>
    </row>
    <row r="414" spans="1:19" ht="15.75" customHeight="1" x14ac:dyDescent="0.25">
      <c r="A414" s="201"/>
      <c r="B414" s="474" t="s">
        <v>149</v>
      </c>
      <c r="C414" s="446"/>
      <c r="D414" s="447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"/>
      <c r="S414" s="1"/>
    </row>
    <row r="415" spans="1:19" ht="15.75" customHeight="1" x14ac:dyDescent="0.25">
      <c r="A415" s="106">
        <v>386</v>
      </c>
      <c r="B415" s="482" t="s">
        <v>120</v>
      </c>
      <c r="C415" s="440"/>
      <c r="D415" s="441"/>
      <c r="E415" s="157">
        <v>200</v>
      </c>
      <c r="F415" s="157">
        <v>5.6</v>
      </c>
      <c r="G415" s="157">
        <v>5</v>
      </c>
      <c r="H415" s="157">
        <v>8.1999999999999993</v>
      </c>
      <c r="I415" s="157">
        <v>100.2</v>
      </c>
      <c r="J415" s="115">
        <v>0</v>
      </c>
      <c r="K415" s="115">
        <v>1.4</v>
      </c>
      <c r="L415" s="115">
        <v>0</v>
      </c>
      <c r="M415" s="115">
        <v>0</v>
      </c>
      <c r="N415" s="115">
        <v>240</v>
      </c>
      <c r="O415" s="115">
        <v>0</v>
      </c>
      <c r="P415" s="115">
        <v>28</v>
      </c>
      <c r="Q415" s="115">
        <v>0.2</v>
      </c>
      <c r="R415" s="29"/>
      <c r="S415" s="29"/>
    </row>
    <row r="416" spans="1:19" ht="33" customHeight="1" x14ac:dyDescent="0.25">
      <c r="A416" s="106" t="s">
        <v>27</v>
      </c>
      <c r="B416" s="439" t="s">
        <v>130</v>
      </c>
      <c r="C416" s="440"/>
      <c r="D416" s="441"/>
      <c r="E416" s="102">
        <v>23</v>
      </c>
      <c r="F416" s="102">
        <v>1.25</v>
      </c>
      <c r="G416" s="102">
        <v>1.48</v>
      </c>
      <c r="H416" s="102">
        <v>34.89</v>
      </c>
      <c r="I416" s="102">
        <v>160.75</v>
      </c>
      <c r="J416" s="102">
        <v>0</v>
      </c>
      <c r="K416" s="102">
        <v>0.1</v>
      </c>
      <c r="L416" s="102">
        <v>0</v>
      </c>
      <c r="M416" s="102">
        <v>0</v>
      </c>
      <c r="N416" s="102">
        <v>6.8</v>
      </c>
      <c r="O416" s="102">
        <v>0</v>
      </c>
      <c r="P416" s="102">
        <v>4.53</v>
      </c>
      <c r="Q416" s="102">
        <v>0.9</v>
      </c>
      <c r="R416" s="29"/>
      <c r="S416" s="29"/>
    </row>
    <row r="417" spans="1:19" ht="15.75" customHeight="1" x14ac:dyDescent="0.25">
      <c r="A417" s="106"/>
      <c r="B417" s="442" t="s">
        <v>169</v>
      </c>
      <c r="C417" s="472"/>
      <c r="D417" s="473"/>
      <c r="E417" s="26">
        <f t="shared" ref="E417:Q417" si="70">SUM(E415:E416)</f>
        <v>223</v>
      </c>
      <c r="F417" s="26">
        <f t="shared" si="70"/>
        <v>6.85</v>
      </c>
      <c r="G417" s="26">
        <f t="shared" si="70"/>
        <v>6.48</v>
      </c>
      <c r="H417" s="26">
        <f t="shared" si="70"/>
        <v>43.09</v>
      </c>
      <c r="I417" s="26">
        <f t="shared" si="70"/>
        <v>260.95</v>
      </c>
      <c r="J417" s="26">
        <f t="shared" si="70"/>
        <v>0</v>
      </c>
      <c r="K417" s="26">
        <f t="shared" si="70"/>
        <v>1.5</v>
      </c>
      <c r="L417" s="26">
        <f t="shared" si="70"/>
        <v>0</v>
      </c>
      <c r="M417" s="26">
        <f t="shared" si="70"/>
        <v>0</v>
      </c>
      <c r="N417" s="26">
        <f t="shared" si="70"/>
        <v>246.8</v>
      </c>
      <c r="O417" s="26">
        <f t="shared" si="70"/>
        <v>0</v>
      </c>
      <c r="P417" s="26">
        <f t="shared" si="70"/>
        <v>32.53</v>
      </c>
      <c r="Q417" s="26">
        <f t="shared" si="70"/>
        <v>1.1000000000000001</v>
      </c>
      <c r="R417" s="17"/>
      <c r="S417" s="17"/>
    </row>
    <row r="418" spans="1:19" s="85" customFormat="1" ht="15.75" customHeight="1" x14ac:dyDescent="0.25">
      <c r="A418" s="106"/>
      <c r="B418" s="436" t="s">
        <v>53</v>
      </c>
      <c r="C418" s="437"/>
      <c r="D418" s="438"/>
      <c r="E418" s="32">
        <v>8</v>
      </c>
      <c r="F418" s="22"/>
      <c r="G418" s="22"/>
      <c r="H418" s="22"/>
      <c r="I418" s="22"/>
      <c r="J418" s="22"/>
      <c r="K418" s="22"/>
      <c r="L418" s="22"/>
      <c r="M418" s="22"/>
      <c r="N418" s="22">
        <v>29.44</v>
      </c>
      <c r="O418" s="22"/>
      <c r="P418" s="22">
        <v>1.76</v>
      </c>
      <c r="Q418" s="22">
        <v>0.23</v>
      </c>
      <c r="R418" s="221"/>
      <c r="S418" s="221"/>
    </row>
    <row r="419" spans="1:19" ht="15.75" customHeight="1" x14ac:dyDescent="0.25">
      <c r="A419" s="106"/>
      <c r="B419" s="422" t="s">
        <v>170</v>
      </c>
      <c r="C419" s="423"/>
      <c r="D419" s="424"/>
      <c r="E419" s="27">
        <f t="shared" ref="E419:M419" si="71">SUM(E388,E391,E401,E405,E413,E417)</f>
        <v>3210</v>
      </c>
      <c r="F419" s="22">
        <f t="shared" si="71"/>
        <v>154.09</v>
      </c>
      <c r="G419" s="22">
        <f t="shared" si="71"/>
        <v>148.31999999999996</v>
      </c>
      <c r="H419" s="22">
        <f t="shared" si="71"/>
        <v>466.27200000000005</v>
      </c>
      <c r="I419" s="22">
        <f t="shared" si="71"/>
        <v>3919.8339999999998</v>
      </c>
      <c r="J419" s="22">
        <f t="shared" si="71"/>
        <v>7.2000000000000008E-2</v>
      </c>
      <c r="K419" s="22">
        <f t="shared" si="71"/>
        <v>141.83100000000002</v>
      </c>
      <c r="L419" s="22">
        <f t="shared" si="71"/>
        <v>0.13</v>
      </c>
      <c r="M419" s="22">
        <f t="shared" si="71"/>
        <v>27.815999999999999</v>
      </c>
      <c r="N419" s="22">
        <f>SUM(N388,N391,N401,N405,N413,N417,N418)</f>
        <v>1238.357</v>
      </c>
      <c r="O419" s="22">
        <f>SUM(O388,O391,O401,O405,O413,O417)</f>
        <v>70.849999999999994</v>
      </c>
      <c r="P419" s="22">
        <f>SUM(P388,P391,P401,P405,P413,P417)</f>
        <v>611.97</v>
      </c>
      <c r="Q419" s="22">
        <f>SUM(Q388,Q391,Q401,Q405,Q413,Q417)</f>
        <v>29.254000000000001</v>
      </c>
      <c r="R419" s="29"/>
      <c r="S419" s="29"/>
    </row>
    <row r="420" spans="1:19" ht="15.75" customHeight="1" x14ac:dyDescent="0.25">
      <c r="A420" s="4"/>
      <c r="B420" s="43"/>
      <c r="C420" s="43"/>
      <c r="D420" s="43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1"/>
      <c r="S420" s="1"/>
    </row>
    <row r="421" spans="1:19" ht="44.25" customHeight="1" x14ac:dyDescent="0.25">
      <c r="A421" s="449" t="s">
        <v>171</v>
      </c>
      <c r="B421" s="449"/>
      <c r="C421" s="449"/>
      <c r="D421" s="449"/>
      <c r="E421" s="449"/>
      <c r="F421" s="449"/>
      <c r="G421" s="449"/>
      <c r="H421" s="449"/>
      <c r="I421" s="449"/>
      <c r="J421" s="449"/>
      <c r="K421" s="449"/>
      <c r="L421" s="449"/>
      <c r="M421" s="449"/>
      <c r="N421" s="449"/>
      <c r="O421" s="449"/>
      <c r="P421" s="449"/>
      <c r="Q421" s="449"/>
      <c r="R421" s="449"/>
      <c r="S421" s="1"/>
    </row>
    <row r="422" spans="1:19" ht="15.75" customHeight="1" x14ac:dyDescent="0.25">
      <c r="A422" s="450" t="s">
        <v>3</v>
      </c>
      <c r="B422" s="452" t="s">
        <v>4</v>
      </c>
      <c r="C422" s="453"/>
      <c r="D422" s="454"/>
      <c r="E422" s="425" t="s">
        <v>5</v>
      </c>
      <c r="F422" s="458" t="s">
        <v>6</v>
      </c>
      <c r="G422" s="459"/>
      <c r="H422" s="460"/>
      <c r="I422" s="425" t="s">
        <v>7</v>
      </c>
      <c r="J422" s="458" t="s">
        <v>8</v>
      </c>
      <c r="K422" s="459"/>
      <c r="L422" s="459"/>
      <c r="M422" s="460"/>
      <c r="N422" s="458" t="s">
        <v>9</v>
      </c>
      <c r="O422" s="459"/>
      <c r="P422" s="459"/>
      <c r="Q422" s="460"/>
      <c r="R422" s="280"/>
      <c r="S422" s="1"/>
    </row>
    <row r="423" spans="1:19" ht="15.75" customHeight="1" x14ac:dyDescent="0.25">
      <c r="A423" s="451"/>
      <c r="B423" s="455"/>
      <c r="C423" s="456"/>
      <c r="D423" s="457"/>
      <c r="E423" s="426"/>
      <c r="F423" s="318" t="s">
        <v>10</v>
      </c>
      <c r="G423" s="318" t="s">
        <v>11</v>
      </c>
      <c r="H423" s="318" t="s">
        <v>12</v>
      </c>
      <c r="I423" s="426"/>
      <c r="J423" s="92" t="s">
        <v>13</v>
      </c>
      <c r="K423" s="92" t="s">
        <v>14</v>
      </c>
      <c r="L423" s="92" t="s">
        <v>15</v>
      </c>
      <c r="M423" s="316" t="s">
        <v>16</v>
      </c>
      <c r="N423" s="317" t="s">
        <v>17</v>
      </c>
      <c r="O423" s="92" t="s">
        <v>18</v>
      </c>
      <c r="P423" s="92" t="s">
        <v>19</v>
      </c>
      <c r="Q423" s="316" t="s">
        <v>20</v>
      </c>
      <c r="R423" s="280"/>
      <c r="S423" s="1"/>
    </row>
    <row r="424" spans="1:19" ht="15.75" customHeight="1" x14ac:dyDescent="0.25">
      <c r="A424" s="220">
        <v>1</v>
      </c>
      <c r="B424" s="461">
        <v>2</v>
      </c>
      <c r="C424" s="462"/>
      <c r="D424" s="463"/>
      <c r="E424" s="313">
        <v>3</v>
      </c>
      <c r="F424" s="313">
        <v>4</v>
      </c>
      <c r="G424" s="313">
        <v>5</v>
      </c>
      <c r="H424" s="313">
        <v>6</v>
      </c>
      <c r="I424" s="315">
        <v>7</v>
      </c>
      <c r="J424" s="313">
        <v>8</v>
      </c>
      <c r="K424" s="313">
        <v>9</v>
      </c>
      <c r="L424" s="313">
        <v>10</v>
      </c>
      <c r="M424" s="314">
        <v>11</v>
      </c>
      <c r="N424" s="313">
        <v>12</v>
      </c>
      <c r="O424" s="313">
        <v>13</v>
      </c>
      <c r="P424" s="313">
        <v>14</v>
      </c>
      <c r="Q424" s="312">
        <v>15</v>
      </c>
      <c r="R424" s="280"/>
      <c r="S424" s="1"/>
    </row>
    <row r="425" spans="1:19" ht="15.75" customHeight="1" x14ac:dyDescent="0.25">
      <c r="A425" s="201"/>
      <c r="B425" s="483" t="s">
        <v>21</v>
      </c>
      <c r="C425" s="484"/>
      <c r="D425" s="485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280"/>
      <c r="S425" s="1"/>
    </row>
    <row r="426" spans="1:19" ht="15.75" customHeight="1" x14ac:dyDescent="0.25">
      <c r="A426" s="106">
        <v>3</v>
      </c>
      <c r="B426" s="486" t="s">
        <v>172</v>
      </c>
      <c r="C426" s="487"/>
      <c r="D426" s="488"/>
      <c r="E426" s="99" t="s">
        <v>23</v>
      </c>
      <c r="F426" s="117">
        <v>5.8</v>
      </c>
      <c r="G426" s="117">
        <v>8.3000000000000007</v>
      </c>
      <c r="H426" s="117">
        <v>14.83</v>
      </c>
      <c r="I426" s="117">
        <v>157</v>
      </c>
      <c r="J426" s="117">
        <v>0.04</v>
      </c>
      <c r="K426" s="117">
        <v>0.04</v>
      </c>
      <c r="L426" s="117">
        <v>0.03</v>
      </c>
      <c r="M426" s="117">
        <v>0.11</v>
      </c>
      <c r="N426" s="117">
        <v>139.19999999999999</v>
      </c>
      <c r="O426" s="117">
        <v>9.4499999999999993</v>
      </c>
      <c r="P426" s="117">
        <v>96</v>
      </c>
      <c r="Q426" s="117">
        <v>0.49</v>
      </c>
      <c r="R426" s="282"/>
      <c r="S426" s="29"/>
    </row>
    <row r="427" spans="1:19" ht="29.25" customHeight="1" x14ac:dyDescent="0.25">
      <c r="A427" s="489">
        <v>174</v>
      </c>
      <c r="B427" s="492" t="s">
        <v>173</v>
      </c>
      <c r="C427" s="493"/>
      <c r="D427" s="494"/>
      <c r="E427" s="128">
        <v>250</v>
      </c>
      <c r="F427" s="464">
        <f>6.11*E427/200</f>
        <v>7.6375000000000002</v>
      </c>
      <c r="G427" s="464">
        <f>10.72*E427/200</f>
        <v>13.4</v>
      </c>
      <c r="H427" s="464">
        <f>32.38*E427/200</f>
        <v>40.475000000000001</v>
      </c>
      <c r="I427" s="464">
        <f>251*E427/200</f>
        <v>313.75</v>
      </c>
      <c r="J427" s="464">
        <v>0</v>
      </c>
      <c r="K427" s="464">
        <f>1.17*E427/200</f>
        <v>1.4624999999999999</v>
      </c>
      <c r="L427" s="464">
        <v>0</v>
      </c>
      <c r="M427" s="464">
        <v>0</v>
      </c>
      <c r="N427" s="464">
        <f>133.77*E427/200</f>
        <v>167.21250000000001</v>
      </c>
      <c r="O427" s="464">
        <v>0</v>
      </c>
      <c r="P427" s="464">
        <f>20.3*E427/200</f>
        <v>25.375</v>
      </c>
      <c r="Q427" s="464">
        <v>0.47</v>
      </c>
      <c r="R427" s="309"/>
      <c r="S427" s="18"/>
    </row>
    <row r="428" spans="1:19" ht="15.75" hidden="1" customHeight="1" x14ac:dyDescent="0.25">
      <c r="A428" s="490"/>
      <c r="B428" s="495"/>
      <c r="C428" s="496"/>
      <c r="D428" s="497"/>
      <c r="E428" s="99"/>
      <c r="F428" s="465"/>
      <c r="G428" s="465"/>
      <c r="H428" s="465"/>
      <c r="I428" s="465"/>
      <c r="J428" s="465"/>
      <c r="K428" s="465"/>
      <c r="L428" s="465"/>
      <c r="M428" s="465"/>
      <c r="N428" s="465"/>
      <c r="O428" s="465"/>
      <c r="P428" s="465"/>
      <c r="Q428" s="465"/>
      <c r="R428" s="307"/>
      <c r="S428" s="17"/>
    </row>
    <row r="429" spans="1:19" ht="15.75" customHeight="1" x14ac:dyDescent="0.25">
      <c r="A429" s="491"/>
      <c r="B429" s="498"/>
      <c r="C429" s="499"/>
      <c r="D429" s="500"/>
      <c r="E429" s="169">
        <f>E427*4/100</f>
        <v>10</v>
      </c>
      <c r="F429" s="466"/>
      <c r="G429" s="466"/>
      <c r="H429" s="466"/>
      <c r="I429" s="466"/>
      <c r="J429" s="466"/>
      <c r="K429" s="466"/>
      <c r="L429" s="466"/>
      <c r="M429" s="466"/>
      <c r="N429" s="466"/>
      <c r="O429" s="466"/>
      <c r="P429" s="466"/>
      <c r="Q429" s="466"/>
      <c r="R429" s="311"/>
      <c r="S429" s="17"/>
    </row>
    <row r="430" spans="1:19" ht="15.75" customHeight="1" x14ac:dyDescent="0.25">
      <c r="A430" s="106">
        <v>209</v>
      </c>
      <c r="B430" s="486" t="s">
        <v>25</v>
      </c>
      <c r="C430" s="487"/>
      <c r="D430" s="488"/>
      <c r="E430" s="106">
        <v>40</v>
      </c>
      <c r="F430" s="106">
        <v>5.0999999999999996</v>
      </c>
      <c r="G430" s="106">
        <v>4.5999999999999996</v>
      </c>
      <c r="H430" s="106">
        <v>0.3</v>
      </c>
      <c r="I430" s="106">
        <v>63</v>
      </c>
      <c r="J430" s="106"/>
      <c r="K430" s="106"/>
      <c r="L430" s="106"/>
      <c r="M430" s="106"/>
      <c r="N430" s="106">
        <v>22</v>
      </c>
      <c r="O430" s="106"/>
      <c r="P430" s="106">
        <v>4.8</v>
      </c>
      <c r="Q430" s="106">
        <v>1</v>
      </c>
      <c r="R430" s="282"/>
      <c r="S430" s="29"/>
    </row>
    <row r="431" spans="1:19" ht="15.75" customHeight="1" x14ac:dyDescent="0.25">
      <c r="A431" s="106">
        <v>379</v>
      </c>
      <c r="B431" s="486" t="s">
        <v>26</v>
      </c>
      <c r="C431" s="487"/>
      <c r="D431" s="488"/>
      <c r="E431" s="106">
        <v>200</v>
      </c>
      <c r="F431" s="106">
        <v>3.58</v>
      </c>
      <c r="G431" s="106">
        <v>2.68</v>
      </c>
      <c r="H431" s="106">
        <v>28.34</v>
      </c>
      <c r="I431" s="106">
        <v>151.80000000000001</v>
      </c>
      <c r="J431" s="106">
        <v>0.02</v>
      </c>
      <c r="K431" s="106">
        <v>0.04</v>
      </c>
      <c r="L431" s="106">
        <v>0.1</v>
      </c>
      <c r="M431" s="106">
        <v>1.3</v>
      </c>
      <c r="N431" s="106">
        <v>125.78</v>
      </c>
      <c r="O431" s="106">
        <v>0</v>
      </c>
      <c r="P431" s="106">
        <v>14</v>
      </c>
      <c r="Q431" s="106">
        <v>0.13</v>
      </c>
      <c r="R431" s="282"/>
      <c r="S431" s="29"/>
    </row>
    <row r="432" spans="1:19" ht="15.75" customHeight="1" x14ac:dyDescent="0.25">
      <c r="A432" s="106" t="s">
        <v>27</v>
      </c>
      <c r="B432" s="486" t="s">
        <v>28</v>
      </c>
      <c r="C432" s="487"/>
      <c r="D432" s="488"/>
      <c r="E432" s="99">
        <v>45</v>
      </c>
      <c r="F432" s="117">
        <f>2.26*E432/30</f>
        <v>3.3899999999999997</v>
      </c>
      <c r="G432" s="117">
        <f>0.23*E432/30</f>
        <v>0.34499999999999997</v>
      </c>
      <c r="H432" s="117">
        <f>14.66*E432/30</f>
        <v>21.990000000000002</v>
      </c>
      <c r="I432" s="117">
        <f>68.86*E432/30</f>
        <v>103.28999999999999</v>
      </c>
      <c r="J432" s="117">
        <v>0</v>
      </c>
      <c r="K432" s="117">
        <v>0</v>
      </c>
      <c r="L432" s="117">
        <v>0</v>
      </c>
      <c r="M432" s="117">
        <v>0</v>
      </c>
      <c r="N432" s="117">
        <f>12.97*E432/30</f>
        <v>19.454999999999998</v>
      </c>
      <c r="O432" s="117">
        <v>0</v>
      </c>
      <c r="P432" s="117">
        <f>2.83*E432/30</f>
        <v>4.2450000000000001</v>
      </c>
      <c r="Q432" s="117">
        <f>0.74*E432/30</f>
        <v>1.1099999999999999</v>
      </c>
      <c r="R432" s="282"/>
      <c r="S432" s="29"/>
    </row>
    <row r="433" spans="1:19" ht="15.75" customHeight="1" x14ac:dyDescent="0.25">
      <c r="A433" s="106"/>
      <c r="B433" s="422" t="s">
        <v>29</v>
      </c>
      <c r="C433" s="423"/>
      <c r="D433" s="424"/>
      <c r="E433" s="99">
        <f>SUM(E426:E431)+5+15+30</f>
        <v>550</v>
      </c>
      <c r="F433" s="117">
        <f t="shared" ref="F433:O433" si="72">SUM(F426:F431)</f>
        <v>22.1175</v>
      </c>
      <c r="G433" s="117">
        <f t="shared" si="72"/>
        <v>28.980000000000004</v>
      </c>
      <c r="H433" s="117">
        <f t="shared" si="72"/>
        <v>83.944999999999993</v>
      </c>
      <c r="I433" s="117">
        <f t="shared" si="72"/>
        <v>685.55</v>
      </c>
      <c r="J433" s="117">
        <f t="shared" si="72"/>
        <v>0.06</v>
      </c>
      <c r="K433" s="117">
        <f t="shared" si="72"/>
        <v>1.5425</v>
      </c>
      <c r="L433" s="117">
        <f t="shared" si="72"/>
        <v>0.13</v>
      </c>
      <c r="M433" s="117">
        <f t="shared" si="72"/>
        <v>1.4100000000000001</v>
      </c>
      <c r="N433" s="117">
        <f t="shared" si="72"/>
        <v>454.1925</v>
      </c>
      <c r="O433" s="117">
        <f t="shared" si="72"/>
        <v>9.4499999999999993</v>
      </c>
      <c r="P433" s="106">
        <v>62.2</v>
      </c>
      <c r="Q433" s="117">
        <f>SUM(Q426:Q431)</f>
        <v>2.09</v>
      </c>
      <c r="R433" s="282"/>
      <c r="S433" s="29"/>
    </row>
    <row r="434" spans="1:19" ht="15.75" customHeight="1" x14ac:dyDescent="0.25">
      <c r="A434" s="201"/>
      <c r="B434" s="483" t="s">
        <v>30</v>
      </c>
      <c r="C434" s="484"/>
      <c r="D434" s="485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280"/>
      <c r="S434" s="1"/>
    </row>
    <row r="435" spans="1:19" ht="15.75" customHeight="1" x14ac:dyDescent="0.25">
      <c r="A435" s="106">
        <v>338</v>
      </c>
      <c r="B435" s="486" t="s">
        <v>31</v>
      </c>
      <c r="C435" s="487"/>
      <c r="D435" s="488"/>
      <c r="E435" s="133">
        <v>300</v>
      </c>
      <c r="F435" s="133">
        <v>4.5</v>
      </c>
      <c r="G435" s="134">
        <v>1.5</v>
      </c>
      <c r="H435" s="133">
        <v>27</v>
      </c>
      <c r="I435" s="133">
        <v>285</v>
      </c>
      <c r="J435" s="133">
        <v>0</v>
      </c>
      <c r="K435" s="133">
        <v>30</v>
      </c>
      <c r="L435" s="133">
        <v>0</v>
      </c>
      <c r="M435" s="133">
        <v>0</v>
      </c>
      <c r="N435" s="133">
        <v>24</v>
      </c>
      <c r="O435" s="133">
        <v>0</v>
      </c>
      <c r="P435" s="133">
        <v>126</v>
      </c>
      <c r="Q435" s="133">
        <v>2.1</v>
      </c>
      <c r="R435" s="280"/>
      <c r="S435" s="1"/>
    </row>
    <row r="436" spans="1:19" ht="15.75" customHeight="1" x14ac:dyDescent="0.25">
      <c r="A436" s="106"/>
      <c r="B436" s="422" t="s">
        <v>32</v>
      </c>
      <c r="C436" s="423"/>
      <c r="D436" s="424"/>
      <c r="E436" s="106">
        <f t="shared" ref="E436:Q436" si="73">E435</f>
        <v>300</v>
      </c>
      <c r="F436" s="106">
        <f t="shared" si="73"/>
        <v>4.5</v>
      </c>
      <c r="G436" s="132">
        <f t="shared" si="73"/>
        <v>1.5</v>
      </c>
      <c r="H436" s="106">
        <f t="shared" si="73"/>
        <v>27</v>
      </c>
      <c r="I436" s="106">
        <f t="shared" si="73"/>
        <v>285</v>
      </c>
      <c r="J436" s="106">
        <f t="shared" si="73"/>
        <v>0</v>
      </c>
      <c r="K436" s="106">
        <f t="shared" si="73"/>
        <v>30</v>
      </c>
      <c r="L436" s="106">
        <f t="shared" si="73"/>
        <v>0</v>
      </c>
      <c r="M436" s="106">
        <f t="shared" si="73"/>
        <v>0</v>
      </c>
      <c r="N436" s="106">
        <f t="shared" si="73"/>
        <v>24</v>
      </c>
      <c r="O436" s="106">
        <f t="shared" si="73"/>
        <v>0</v>
      </c>
      <c r="P436" s="106">
        <f t="shared" si="73"/>
        <v>126</v>
      </c>
      <c r="Q436" s="106">
        <f t="shared" si="73"/>
        <v>2.1</v>
      </c>
      <c r="R436" s="280"/>
      <c r="S436" s="1"/>
    </row>
    <row r="437" spans="1:19" ht="15.75" customHeight="1" x14ac:dyDescent="0.25">
      <c r="A437" s="201"/>
      <c r="B437" s="483" t="s">
        <v>33</v>
      </c>
      <c r="C437" s="484"/>
      <c r="D437" s="485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280"/>
      <c r="S437" s="1"/>
    </row>
    <row r="438" spans="1:19" ht="15.75" customHeight="1" x14ac:dyDescent="0.25">
      <c r="A438" s="106">
        <v>71</v>
      </c>
      <c r="B438" s="486" t="s">
        <v>174</v>
      </c>
      <c r="C438" s="487"/>
      <c r="D438" s="488"/>
      <c r="E438" s="100">
        <v>75</v>
      </c>
      <c r="F438" s="117">
        <v>0.8</v>
      </c>
      <c r="G438" s="117">
        <v>0</v>
      </c>
      <c r="H438" s="117">
        <v>3.4</v>
      </c>
      <c r="I438" s="117">
        <v>16.8</v>
      </c>
      <c r="J438" s="117" t="s">
        <v>35</v>
      </c>
      <c r="K438" s="117">
        <v>10</v>
      </c>
      <c r="L438" s="117">
        <v>0</v>
      </c>
      <c r="M438" s="117">
        <v>0</v>
      </c>
      <c r="N438" s="117">
        <v>23</v>
      </c>
      <c r="O438" s="117">
        <v>0</v>
      </c>
      <c r="P438" s="117">
        <v>13</v>
      </c>
      <c r="Q438" s="117">
        <v>0.6</v>
      </c>
      <c r="R438" s="307"/>
      <c r="S438" s="17"/>
    </row>
    <row r="439" spans="1:19" ht="31.5" customHeight="1" x14ac:dyDescent="0.25">
      <c r="A439" s="106">
        <v>103</v>
      </c>
      <c r="B439" s="501" t="s">
        <v>125</v>
      </c>
      <c r="C439" s="502"/>
      <c r="D439" s="503"/>
      <c r="E439" s="115">
        <v>250</v>
      </c>
      <c r="F439" s="200">
        <f>2.86*E439/250</f>
        <v>2.86</v>
      </c>
      <c r="G439" s="200">
        <f>3.08*E439/250</f>
        <v>3.08</v>
      </c>
      <c r="H439" s="200">
        <f>16.83*E439/250</f>
        <v>16.829999999999998</v>
      </c>
      <c r="I439" s="200">
        <f>350.4*E439/250</f>
        <v>350.4</v>
      </c>
      <c r="J439" s="200" t="s">
        <v>35</v>
      </c>
      <c r="K439" s="200">
        <f>8.25*E439/250</f>
        <v>8.25</v>
      </c>
      <c r="L439" s="200">
        <v>0</v>
      </c>
      <c r="M439" s="200">
        <v>0</v>
      </c>
      <c r="N439" s="200">
        <f>26.73*E439/250</f>
        <v>26.73</v>
      </c>
      <c r="O439" s="200">
        <v>0</v>
      </c>
      <c r="P439" s="200">
        <f>26.96*E439/250</f>
        <v>26.96</v>
      </c>
      <c r="Q439" s="200">
        <f>1.1*E439/250</f>
        <v>1.1000000000000001</v>
      </c>
      <c r="R439" s="307"/>
      <c r="S439" s="17"/>
    </row>
    <row r="440" spans="1:19" ht="15.75" customHeight="1" x14ac:dyDescent="0.25">
      <c r="A440" s="504" t="s">
        <v>68</v>
      </c>
      <c r="B440" s="506" t="s">
        <v>69</v>
      </c>
      <c r="C440" s="507"/>
      <c r="D440" s="508"/>
      <c r="E440" s="122">
        <v>120</v>
      </c>
      <c r="F440" s="504">
        <f>23.56*(E440+E441)/(100+100)</f>
        <v>28.271999999999998</v>
      </c>
      <c r="G440" s="504">
        <f>20.24*(E440+E441)/(100+100)</f>
        <v>24.287999999999997</v>
      </c>
      <c r="H440" s="504">
        <f>5.86*(E440+E441)/(100+100)</f>
        <v>7.032</v>
      </c>
      <c r="I440" s="504">
        <f>300*(E440+E441)/(100+100)</f>
        <v>360</v>
      </c>
      <c r="J440" s="504">
        <v>0</v>
      </c>
      <c r="K440" s="504">
        <f>2.88*(E440+E441)/(100+100)</f>
        <v>3.4559999999999995</v>
      </c>
      <c r="L440" s="504">
        <v>0</v>
      </c>
      <c r="M440" s="504">
        <v>0</v>
      </c>
      <c r="N440" s="504">
        <f>77.8*(E440+E441)/(100+100)</f>
        <v>93.36</v>
      </c>
      <c r="O440" s="504">
        <v>0</v>
      </c>
      <c r="P440" s="504">
        <f>26.28*(E440+E441)/(100+100)</f>
        <v>31.536000000000005</v>
      </c>
      <c r="Q440" s="504">
        <f>1.82*(E440+E441)/(100+100)</f>
        <v>2.1840000000000002</v>
      </c>
      <c r="R440" s="307"/>
      <c r="S440" s="17"/>
    </row>
    <row r="441" spans="1:19" ht="15.75" customHeight="1" x14ac:dyDescent="0.25">
      <c r="A441" s="505"/>
      <c r="B441" s="509"/>
      <c r="C441" s="510"/>
      <c r="D441" s="511"/>
      <c r="E441" s="122">
        <f>E440</f>
        <v>120</v>
      </c>
      <c r="F441" s="505"/>
      <c r="G441" s="505"/>
      <c r="H441" s="505"/>
      <c r="I441" s="505"/>
      <c r="J441" s="505"/>
      <c r="K441" s="505"/>
      <c r="L441" s="505"/>
      <c r="M441" s="505"/>
      <c r="N441" s="505"/>
      <c r="O441" s="505"/>
      <c r="P441" s="505"/>
      <c r="Q441" s="505"/>
      <c r="R441" s="311"/>
      <c r="S441" s="19"/>
    </row>
    <row r="442" spans="1:19" ht="15.75" customHeight="1" x14ac:dyDescent="0.25">
      <c r="A442" s="106">
        <v>302</v>
      </c>
      <c r="B442" s="310" t="s">
        <v>175</v>
      </c>
      <c r="C442" s="310"/>
      <c r="D442" s="310"/>
      <c r="E442" s="115">
        <v>200</v>
      </c>
      <c r="F442" s="115">
        <f>8.6*E442/200</f>
        <v>8.6</v>
      </c>
      <c r="G442" s="115">
        <f>7.2*E442/200</f>
        <v>7.2</v>
      </c>
      <c r="H442" s="115">
        <f>47.6*E442/200</f>
        <v>47.6</v>
      </c>
      <c r="I442" s="115">
        <f>289.6*E442/200</f>
        <v>289.60000000000002</v>
      </c>
      <c r="J442" s="115"/>
      <c r="K442" s="115">
        <v>0</v>
      </c>
      <c r="L442" s="115">
        <v>0</v>
      </c>
      <c r="M442" s="115"/>
      <c r="N442" s="115">
        <f>14.64*E442/200</f>
        <v>14.64</v>
      </c>
      <c r="O442" s="115">
        <v>0</v>
      </c>
      <c r="P442" s="115">
        <f>40.45*E442/200</f>
        <v>40.450000000000003</v>
      </c>
      <c r="Q442" s="115">
        <f>3.41*E442/200</f>
        <v>3.41</v>
      </c>
      <c r="R442" s="311"/>
      <c r="S442" s="19"/>
    </row>
    <row r="443" spans="1:19" ht="15.75" customHeight="1" x14ac:dyDescent="0.25">
      <c r="A443" s="106">
        <v>342</v>
      </c>
      <c r="B443" s="310" t="s">
        <v>38</v>
      </c>
      <c r="C443" s="310"/>
      <c r="D443" s="310"/>
      <c r="E443" s="100">
        <v>200</v>
      </c>
      <c r="F443" s="117">
        <v>0.08</v>
      </c>
      <c r="G443" s="117">
        <v>0</v>
      </c>
      <c r="H443" s="117">
        <v>21.82</v>
      </c>
      <c r="I443" s="117">
        <v>87.6</v>
      </c>
      <c r="J443" s="117">
        <v>0</v>
      </c>
      <c r="K443" s="117">
        <v>2.25</v>
      </c>
      <c r="L443" s="117">
        <v>0</v>
      </c>
      <c r="M443" s="117">
        <v>0</v>
      </c>
      <c r="N443" s="117">
        <v>17</v>
      </c>
      <c r="O443" s="117">
        <v>0</v>
      </c>
      <c r="P443" s="117">
        <v>9</v>
      </c>
      <c r="Q443" s="117">
        <v>2.2000000000000002</v>
      </c>
      <c r="R443" s="282"/>
      <c r="S443" s="29"/>
    </row>
    <row r="444" spans="1:19" ht="15.75" customHeight="1" x14ac:dyDescent="0.25">
      <c r="A444" s="106" t="s">
        <v>27</v>
      </c>
      <c r="B444" s="310" t="s">
        <v>39</v>
      </c>
      <c r="C444" s="310"/>
      <c r="D444" s="310"/>
      <c r="E444" s="99">
        <v>120</v>
      </c>
      <c r="F444" s="117">
        <f>4.03*E444/50</f>
        <v>9.6720000000000006</v>
      </c>
      <c r="G444" s="117">
        <f>0.5*E444/50</f>
        <v>1.2</v>
      </c>
      <c r="H444" s="117">
        <f>22.36*E444/50</f>
        <v>53.663999999999994</v>
      </c>
      <c r="I444" s="117">
        <f>98.86*E444/50</f>
        <v>237.26400000000001</v>
      </c>
      <c r="J444" s="117">
        <v>0</v>
      </c>
      <c r="K444" s="117">
        <v>0</v>
      </c>
      <c r="L444" s="117">
        <v>0</v>
      </c>
      <c r="M444" s="117">
        <v>0</v>
      </c>
      <c r="N444" s="117">
        <f>17.59*E444/50</f>
        <v>42.216000000000001</v>
      </c>
      <c r="O444" s="117">
        <v>0</v>
      </c>
      <c r="P444" s="117">
        <f>1.89*E444/50</f>
        <v>4.5359999999999996</v>
      </c>
      <c r="Q444" s="117">
        <f>0.88*E444/50</f>
        <v>2.1120000000000001</v>
      </c>
      <c r="R444" s="307"/>
      <c r="S444" s="17"/>
    </row>
    <row r="445" spans="1:19" ht="15.75" customHeight="1" x14ac:dyDescent="0.25">
      <c r="A445" s="106" t="s">
        <v>27</v>
      </c>
      <c r="B445" s="486" t="s">
        <v>28</v>
      </c>
      <c r="C445" s="487"/>
      <c r="D445" s="488"/>
      <c r="E445" s="99">
        <v>45</v>
      </c>
      <c r="F445" s="117">
        <f>2.26*E445/30</f>
        <v>3.3899999999999997</v>
      </c>
      <c r="G445" s="117">
        <f>0.23*E445/30</f>
        <v>0.34499999999999997</v>
      </c>
      <c r="H445" s="117">
        <f>14.66*E445/30</f>
        <v>21.990000000000002</v>
      </c>
      <c r="I445" s="117">
        <f>68.86*E445/30</f>
        <v>103.28999999999999</v>
      </c>
      <c r="J445" s="117">
        <v>0</v>
      </c>
      <c r="K445" s="117">
        <v>0</v>
      </c>
      <c r="L445" s="117">
        <v>0</v>
      </c>
      <c r="M445" s="117">
        <v>0</v>
      </c>
      <c r="N445" s="117">
        <f>12.97*E445/30</f>
        <v>19.454999999999998</v>
      </c>
      <c r="O445" s="117">
        <v>0</v>
      </c>
      <c r="P445" s="117">
        <f>2.83*E445/30</f>
        <v>4.2450000000000001</v>
      </c>
      <c r="Q445" s="117">
        <f>0.74*E445/30</f>
        <v>1.1099999999999999</v>
      </c>
      <c r="R445" s="307"/>
      <c r="S445" s="17"/>
    </row>
    <row r="446" spans="1:19" ht="15.75" customHeight="1" x14ac:dyDescent="0.25">
      <c r="A446" s="106"/>
      <c r="B446" s="422" t="s">
        <v>65</v>
      </c>
      <c r="C446" s="423"/>
      <c r="D446" s="424"/>
      <c r="E446" s="100">
        <f t="shared" ref="E446:Q446" si="74">SUM(E438:E445)</f>
        <v>1130</v>
      </c>
      <c r="F446" s="117">
        <f t="shared" si="74"/>
        <v>53.673999999999992</v>
      </c>
      <c r="G446" s="117">
        <f t="shared" si="74"/>
        <v>36.113</v>
      </c>
      <c r="H446" s="117">
        <f t="shared" si="74"/>
        <v>172.33599999999998</v>
      </c>
      <c r="I446" s="117">
        <f t="shared" si="74"/>
        <v>1444.9540000000002</v>
      </c>
      <c r="J446" s="117">
        <f t="shared" si="74"/>
        <v>0</v>
      </c>
      <c r="K446" s="117">
        <f t="shared" si="74"/>
        <v>23.956</v>
      </c>
      <c r="L446" s="117">
        <f t="shared" si="74"/>
        <v>0</v>
      </c>
      <c r="M446" s="117">
        <f t="shared" si="74"/>
        <v>0</v>
      </c>
      <c r="N446" s="117">
        <f t="shared" si="74"/>
        <v>236.40100000000001</v>
      </c>
      <c r="O446" s="117">
        <f t="shared" si="74"/>
        <v>0</v>
      </c>
      <c r="P446" s="117">
        <f t="shared" si="74"/>
        <v>129.727</v>
      </c>
      <c r="Q446" s="117">
        <f t="shared" si="74"/>
        <v>12.715999999999999</v>
      </c>
      <c r="R446" s="282"/>
      <c r="S446" s="29"/>
    </row>
    <row r="447" spans="1:19" ht="15.75" customHeight="1" x14ac:dyDescent="0.25">
      <c r="A447" s="201"/>
      <c r="B447" s="598" t="s">
        <v>41</v>
      </c>
      <c r="C447" s="599"/>
      <c r="D447" s="600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280"/>
      <c r="S447" s="1"/>
    </row>
    <row r="448" spans="1:19" ht="19.5" customHeight="1" x14ac:dyDescent="0.25">
      <c r="A448" s="489">
        <v>223</v>
      </c>
      <c r="B448" s="492" t="s">
        <v>165</v>
      </c>
      <c r="C448" s="493"/>
      <c r="D448" s="494"/>
      <c r="E448" s="115">
        <v>200</v>
      </c>
      <c r="F448" s="489">
        <f>28.24*(E448+E449)/(200+50)</f>
        <v>28.24</v>
      </c>
      <c r="G448" s="489">
        <f>30.94*(E448+E449)/(200+50)</f>
        <v>30.94</v>
      </c>
      <c r="H448" s="489">
        <f>43.44*(E448+E449)/(200+50)</f>
        <v>43.44</v>
      </c>
      <c r="I448" s="489">
        <f>565.27*(E448+E449)/(200+50)</f>
        <v>565.27</v>
      </c>
      <c r="J448" s="489">
        <f>0*(E448+E449)/(200+50)</f>
        <v>0</v>
      </c>
      <c r="K448" s="489">
        <f>1.17*(E448+E449)/(200+50)</f>
        <v>1.17</v>
      </c>
      <c r="L448" s="489">
        <v>0</v>
      </c>
      <c r="M448" s="489">
        <v>0</v>
      </c>
      <c r="N448" s="489">
        <f>488.96*(E448+E449)/(200+50)</f>
        <v>488.96</v>
      </c>
      <c r="O448" s="489">
        <v>0</v>
      </c>
      <c r="P448" s="489">
        <f>66.39*(E448+E449)/(200+50)</f>
        <v>66.39</v>
      </c>
      <c r="Q448" s="489">
        <f>1.6*(E448+E449)/(200+50)</f>
        <v>1.6</v>
      </c>
      <c r="R448" s="309"/>
      <c r="S448" s="18"/>
    </row>
    <row r="449" spans="1:34" ht="15.75" customHeight="1" x14ac:dyDescent="0.25">
      <c r="A449" s="491"/>
      <c r="B449" s="498"/>
      <c r="C449" s="499"/>
      <c r="D449" s="500"/>
      <c r="E449" s="130">
        <f>E448*25/100</f>
        <v>50</v>
      </c>
      <c r="F449" s="491"/>
      <c r="G449" s="491"/>
      <c r="H449" s="491"/>
      <c r="I449" s="491"/>
      <c r="J449" s="491"/>
      <c r="K449" s="491"/>
      <c r="L449" s="491"/>
      <c r="M449" s="491"/>
      <c r="N449" s="491"/>
      <c r="O449" s="491"/>
      <c r="P449" s="491"/>
      <c r="Q449" s="491"/>
      <c r="R449" s="309"/>
      <c r="S449" s="18"/>
    </row>
    <row r="450" spans="1:34" ht="15.75" customHeight="1" x14ac:dyDescent="0.25">
      <c r="A450" s="106">
        <v>382</v>
      </c>
      <c r="B450" s="486" t="s">
        <v>58</v>
      </c>
      <c r="C450" s="487"/>
      <c r="D450" s="488"/>
      <c r="E450" s="106">
        <v>200</v>
      </c>
      <c r="F450" s="117">
        <v>3.76</v>
      </c>
      <c r="G450" s="117">
        <v>3.2</v>
      </c>
      <c r="H450" s="117">
        <v>17.57</v>
      </c>
      <c r="I450" s="117">
        <v>114.12</v>
      </c>
      <c r="J450" s="117">
        <v>0</v>
      </c>
      <c r="K450" s="117">
        <v>1.58</v>
      </c>
      <c r="L450" s="117">
        <v>0</v>
      </c>
      <c r="M450" s="117">
        <v>0</v>
      </c>
      <c r="N450" s="117">
        <v>152.22</v>
      </c>
      <c r="O450" s="117">
        <v>0</v>
      </c>
      <c r="P450" s="117">
        <v>21.34</v>
      </c>
      <c r="Q450" s="117">
        <v>0.47</v>
      </c>
      <c r="R450" s="282"/>
      <c r="S450" s="29"/>
    </row>
    <row r="451" spans="1:34" ht="16.5" customHeight="1" x14ac:dyDescent="0.25">
      <c r="A451" s="123"/>
      <c r="B451" s="422" t="s">
        <v>86</v>
      </c>
      <c r="C451" s="423"/>
      <c r="D451" s="424"/>
      <c r="E451" s="123">
        <f>SUM(E448:E450)</f>
        <v>450</v>
      </c>
      <c r="F451" s="308">
        <f t="shared" ref="F451:Q451" si="75">F448+F450</f>
        <v>32</v>
      </c>
      <c r="G451" s="308">
        <f t="shared" si="75"/>
        <v>34.14</v>
      </c>
      <c r="H451" s="308">
        <f t="shared" si="75"/>
        <v>61.01</v>
      </c>
      <c r="I451" s="308">
        <f t="shared" si="75"/>
        <v>679.39</v>
      </c>
      <c r="J451" s="308">
        <f t="shared" si="75"/>
        <v>0</v>
      </c>
      <c r="K451" s="308">
        <f t="shared" si="75"/>
        <v>2.75</v>
      </c>
      <c r="L451" s="308">
        <f t="shared" si="75"/>
        <v>0</v>
      </c>
      <c r="M451" s="308">
        <f t="shared" si="75"/>
        <v>0</v>
      </c>
      <c r="N451" s="308">
        <f t="shared" si="75"/>
        <v>641.17999999999995</v>
      </c>
      <c r="O451" s="308">
        <f t="shared" si="75"/>
        <v>0</v>
      </c>
      <c r="P451" s="308">
        <f t="shared" si="75"/>
        <v>87.73</v>
      </c>
      <c r="Q451" s="308">
        <f t="shared" si="75"/>
        <v>2.0700000000000003</v>
      </c>
      <c r="R451" s="282"/>
      <c r="S451" s="29"/>
    </row>
    <row r="452" spans="1:34" ht="18.75" customHeight="1" x14ac:dyDescent="0.25">
      <c r="A452" s="201"/>
      <c r="B452" s="513" t="s">
        <v>44</v>
      </c>
      <c r="C452" s="514"/>
      <c r="D452" s="515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280"/>
      <c r="S452" s="1"/>
    </row>
    <row r="453" spans="1:34" ht="15.75" customHeight="1" x14ac:dyDescent="0.25">
      <c r="A453" s="115" t="s">
        <v>133</v>
      </c>
      <c r="B453" s="519" t="s">
        <v>176</v>
      </c>
      <c r="C453" s="520"/>
      <c r="D453" s="521"/>
      <c r="E453" s="115">
        <v>30</v>
      </c>
      <c r="F453" s="115">
        <f>1.55*E453/50</f>
        <v>0.93</v>
      </c>
      <c r="G453" s="115">
        <f>0*E453/50</f>
        <v>0</v>
      </c>
      <c r="H453" s="115">
        <f>3.25*E453/50</f>
        <v>1.95</v>
      </c>
      <c r="I453" s="115">
        <f>22.5*E453/50</f>
        <v>13.5</v>
      </c>
      <c r="J453" s="115">
        <f>0*E453/50</f>
        <v>0</v>
      </c>
      <c r="K453" s="115">
        <f>5*E453/50</f>
        <v>3</v>
      </c>
      <c r="L453" s="115">
        <f>0*E453/50</f>
        <v>0</v>
      </c>
      <c r="M453" s="115">
        <v>0</v>
      </c>
      <c r="N453" s="115">
        <f>10*E453/50</f>
        <v>6</v>
      </c>
      <c r="O453" s="115">
        <v>0</v>
      </c>
      <c r="P453" s="115">
        <f>10*E453/50</f>
        <v>6</v>
      </c>
      <c r="Q453" s="115">
        <f>0.35*E453/50</f>
        <v>0.21</v>
      </c>
      <c r="R453" s="282"/>
      <c r="S453" s="29"/>
    </row>
    <row r="454" spans="1:34" ht="15.75" customHeight="1" x14ac:dyDescent="0.25">
      <c r="A454" s="504" t="s">
        <v>89</v>
      </c>
      <c r="B454" s="506" t="s">
        <v>177</v>
      </c>
      <c r="C454" s="507"/>
      <c r="D454" s="508"/>
      <c r="E454" s="106">
        <v>120</v>
      </c>
      <c r="F454" s="734">
        <f>15.84*(E454+E455)/(100+50)</f>
        <v>19.007999999999999</v>
      </c>
      <c r="G454" s="734">
        <f>22.54*(E454+E455)/(100+50)</f>
        <v>27.047999999999998</v>
      </c>
      <c r="H454" s="734">
        <f>13.22*(E454+E455)/(100+50)</f>
        <v>15.863999999999999</v>
      </c>
      <c r="I454" s="734">
        <f>322*(E454+E455)/(100+50)</f>
        <v>386.4</v>
      </c>
      <c r="J454" s="734">
        <v>0</v>
      </c>
      <c r="K454" s="734">
        <v>0</v>
      </c>
      <c r="L454" s="734">
        <v>0</v>
      </c>
      <c r="M454" s="734">
        <v>0</v>
      </c>
      <c r="N454" s="734">
        <f>12.82*(E454+E455)/(100+50)</f>
        <v>15.383999999999999</v>
      </c>
      <c r="O454" s="734">
        <v>0</v>
      </c>
      <c r="P454" s="734">
        <f>30.6*(E454+E455)/(100+50)</f>
        <v>36.72</v>
      </c>
      <c r="Q454" s="734">
        <f>2.7*(E454+E455)/(100+50)</f>
        <v>3.24</v>
      </c>
      <c r="R454" s="282"/>
      <c r="S454" s="29"/>
    </row>
    <row r="455" spans="1:34" ht="15.75" customHeight="1" x14ac:dyDescent="0.25">
      <c r="A455" s="505"/>
      <c r="B455" s="509"/>
      <c r="C455" s="510"/>
      <c r="D455" s="511"/>
      <c r="E455" s="138">
        <f>E454/2</f>
        <v>60</v>
      </c>
      <c r="F455" s="735"/>
      <c r="G455" s="735"/>
      <c r="H455" s="735"/>
      <c r="I455" s="735"/>
      <c r="J455" s="735"/>
      <c r="K455" s="735"/>
      <c r="L455" s="735"/>
      <c r="M455" s="735"/>
      <c r="N455" s="735"/>
      <c r="O455" s="735"/>
      <c r="P455" s="735"/>
      <c r="Q455" s="735"/>
      <c r="R455" s="282"/>
      <c r="S455" s="29"/>
    </row>
    <row r="456" spans="1:34" ht="15.75" customHeight="1" x14ac:dyDescent="0.25">
      <c r="A456" s="737">
        <v>171</v>
      </c>
      <c r="B456" s="506" t="s">
        <v>178</v>
      </c>
      <c r="C456" s="507"/>
      <c r="D456" s="508"/>
      <c r="E456" s="200">
        <v>200</v>
      </c>
      <c r="F456" s="732">
        <v>11.33</v>
      </c>
      <c r="G456" s="732">
        <v>6.63</v>
      </c>
      <c r="H456" s="732">
        <v>58.84</v>
      </c>
      <c r="I456" s="732">
        <v>340.37</v>
      </c>
      <c r="J456" s="732">
        <v>0.5</v>
      </c>
      <c r="K456" s="732">
        <v>0</v>
      </c>
      <c r="L456" s="732">
        <v>0</v>
      </c>
      <c r="M456" s="732">
        <v>5.32</v>
      </c>
      <c r="N456" s="732">
        <v>68.180000000000007</v>
      </c>
      <c r="O456" s="732">
        <v>284.5</v>
      </c>
      <c r="P456" s="732">
        <v>93.31</v>
      </c>
      <c r="Q456" s="732">
        <v>7.61</v>
      </c>
      <c r="R456" s="282"/>
      <c r="S456" s="29"/>
    </row>
    <row r="457" spans="1:34" ht="15.75" customHeight="1" x14ac:dyDescent="0.25">
      <c r="A457" s="738"/>
      <c r="B457" s="509"/>
      <c r="C457" s="510"/>
      <c r="D457" s="511"/>
      <c r="E457" s="100">
        <f>E456*5.26/100</f>
        <v>10.52</v>
      </c>
      <c r="F457" s="733"/>
      <c r="G457" s="733"/>
      <c r="H457" s="733"/>
      <c r="I457" s="733"/>
      <c r="J457" s="733"/>
      <c r="K457" s="733"/>
      <c r="L457" s="733"/>
      <c r="M457" s="733"/>
      <c r="N457" s="733"/>
      <c r="O457" s="733"/>
      <c r="P457" s="733"/>
      <c r="Q457" s="733"/>
      <c r="R457" s="282"/>
      <c r="S457" s="29"/>
    </row>
    <row r="458" spans="1:34" ht="15.75" customHeight="1" x14ac:dyDescent="0.25">
      <c r="A458" s="106">
        <v>389</v>
      </c>
      <c r="B458" s="486" t="s">
        <v>168</v>
      </c>
      <c r="C458" s="487"/>
      <c r="D458" s="488"/>
      <c r="E458" s="100">
        <v>180</v>
      </c>
      <c r="F458" s="117">
        <v>1</v>
      </c>
      <c r="G458" s="117">
        <v>0</v>
      </c>
      <c r="H458" s="117">
        <v>20.2</v>
      </c>
      <c r="I458" s="117">
        <v>84.8</v>
      </c>
      <c r="J458" s="117">
        <v>0</v>
      </c>
      <c r="K458" s="117">
        <v>4</v>
      </c>
      <c r="L458" s="117">
        <v>0</v>
      </c>
      <c r="M458" s="117">
        <v>0</v>
      </c>
      <c r="N458" s="117">
        <v>14</v>
      </c>
      <c r="O458" s="117">
        <v>0</v>
      </c>
      <c r="P458" s="117">
        <v>8</v>
      </c>
      <c r="Q458" s="117">
        <v>2.8</v>
      </c>
      <c r="R458" s="282"/>
      <c r="S458" s="29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5.75" customHeight="1" x14ac:dyDescent="0.25">
      <c r="A459" s="106" t="s">
        <v>27</v>
      </c>
      <c r="B459" s="486" t="s">
        <v>39</v>
      </c>
      <c r="C459" s="487"/>
      <c r="D459" s="488"/>
      <c r="E459" s="99">
        <v>75</v>
      </c>
      <c r="F459" s="117">
        <f>4.03*E459/50</f>
        <v>6.0449999999999999</v>
      </c>
      <c r="G459" s="117">
        <f>0.5*E459/50</f>
        <v>0.75</v>
      </c>
      <c r="H459" s="117">
        <f>22.36*E459/50</f>
        <v>33.54</v>
      </c>
      <c r="I459" s="117">
        <f>98.86*E459/50</f>
        <v>148.29</v>
      </c>
      <c r="J459" s="117">
        <v>0</v>
      </c>
      <c r="K459" s="117">
        <v>0</v>
      </c>
      <c r="L459" s="117">
        <v>0</v>
      </c>
      <c r="M459" s="117">
        <v>0</v>
      </c>
      <c r="N459" s="117">
        <f>17.59*E459/50</f>
        <v>26.385000000000002</v>
      </c>
      <c r="O459" s="117">
        <v>0</v>
      </c>
      <c r="P459" s="117">
        <f>1.89*E459/50</f>
        <v>2.835</v>
      </c>
      <c r="Q459" s="117">
        <f>0.88*E459/50</f>
        <v>1.32</v>
      </c>
      <c r="R459" s="307"/>
      <c r="S459" s="17"/>
    </row>
    <row r="460" spans="1:34" ht="15.75" customHeight="1" x14ac:dyDescent="0.25">
      <c r="A460" s="106" t="s">
        <v>27</v>
      </c>
      <c r="B460" s="486" t="s">
        <v>28</v>
      </c>
      <c r="C460" s="487"/>
      <c r="D460" s="488"/>
      <c r="E460" s="99">
        <v>45</v>
      </c>
      <c r="F460" s="117">
        <f>2.26*E460/30</f>
        <v>3.3899999999999997</v>
      </c>
      <c r="G460" s="117">
        <f>0.23*E460/30</f>
        <v>0.34499999999999997</v>
      </c>
      <c r="H460" s="117">
        <f>14.66*E460/30</f>
        <v>21.990000000000002</v>
      </c>
      <c r="I460" s="117">
        <f>68.86*E460/30</f>
        <v>103.28999999999999</v>
      </c>
      <c r="J460" s="117">
        <v>0</v>
      </c>
      <c r="K460" s="117">
        <v>0</v>
      </c>
      <c r="L460" s="117">
        <v>0</v>
      </c>
      <c r="M460" s="117">
        <v>0</v>
      </c>
      <c r="N460" s="117">
        <f>12.97*E460/30</f>
        <v>19.454999999999998</v>
      </c>
      <c r="O460" s="117">
        <v>0</v>
      </c>
      <c r="P460" s="117">
        <f>2.83*E460/30</f>
        <v>4.2450000000000001</v>
      </c>
      <c r="Q460" s="117">
        <f>0.74*E460/30</f>
        <v>1.1099999999999999</v>
      </c>
      <c r="R460" s="307"/>
      <c r="S460" s="17"/>
    </row>
    <row r="461" spans="1:34" ht="15.75" customHeight="1" x14ac:dyDescent="0.25">
      <c r="A461" s="106"/>
      <c r="B461" s="422" t="s">
        <v>72</v>
      </c>
      <c r="C461" s="423"/>
      <c r="D461" s="424"/>
      <c r="E461" s="99">
        <f t="shared" ref="E461:Q461" si="76">SUM(E453:E460)</f>
        <v>720.52</v>
      </c>
      <c r="F461" s="117">
        <f t="shared" si="76"/>
        <v>41.703000000000003</v>
      </c>
      <c r="G461" s="117">
        <f t="shared" si="76"/>
        <v>34.772999999999996</v>
      </c>
      <c r="H461" s="117">
        <f t="shared" si="76"/>
        <v>152.38400000000001</v>
      </c>
      <c r="I461" s="117">
        <f t="shared" si="76"/>
        <v>1076.6499999999999</v>
      </c>
      <c r="J461" s="117">
        <f t="shared" si="76"/>
        <v>0.5</v>
      </c>
      <c r="K461" s="117">
        <f t="shared" si="76"/>
        <v>7</v>
      </c>
      <c r="L461" s="117">
        <f t="shared" si="76"/>
        <v>0</v>
      </c>
      <c r="M461" s="117">
        <f t="shared" si="76"/>
        <v>5.32</v>
      </c>
      <c r="N461" s="117">
        <f t="shared" si="76"/>
        <v>149.404</v>
      </c>
      <c r="O461" s="117">
        <f t="shared" si="76"/>
        <v>284.5</v>
      </c>
      <c r="P461" s="117">
        <f t="shared" si="76"/>
        <v>151.11000000000001</v>
      </c>
      <c r="Q461" s="117">
        <f t="shared" si="76"/>
        <v>16.29</v>
      </c>
      <c r="R461" s="307"/>
      <c r="S461" s="29"/>
    </row>
    <row r="462" spans="1:34" ht="15.75" customHeight="1" x14ac:dyDescent="0.25">
      <c r="A462" s="201"/>
      <c r="B462" s="513" t="s">
        <v>49</v>
      </c>
      <c r="C462" s="514"/>
      <c r="D462" s="515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280"/>
      <c r="S462" s="1"/>
    </row>
    <row r="463" spans="1:34" ht="31.5" customHeight="1" x14ac:dyDescent="0.25">
      <c r="A463" s="102">
        <v>386</v>
      </c>
      <c r="B463" s="516" t="s">
        <v>74</v>
      </c>
      <c r="C463" s="517"/>
      <c r="D463" s="518"/>
      <c r="E463" s="199">
        <v>200</v>
      </c>
      <c r="F463" s="196">
        <v>4.32</v>
      </c>
      <c r="G463" s="196">
        <v>2.5</v>
      </c>
      <c r="H463" s="196">
        <v>9.8800000000000008</v>
      </c>
      <c r="I463" s="196">
        <v>84.8</v>
      </c>
      <c r="J463" s="196">
        <v>0</v>
      </c>
      <c r="K463" s="196">
        <v>0</v>
      </c>
      <c r="L463" s="196">
        <v>0</v>
      </c>
      <c r="M463" s="196">
        <v>0</v>
      </c>
      <c r="N463" s="196">
        <v>120.96</v>
      </c>
      <c r="O463" s="196">
        <v>0</v>
      </c>
      <c r="P463" s="196">
        <v>14.11</v>
      </c>
      <c r="Q463" s="196">
        <v>0.1</v>
      </c>
      <c r="R463" s="306"/>
      <c r="S463" s="71"/>
    </row>
    <row r="464" spans="1:34" ht="15.75" customHeight="1" x14ac:dyDescent="0.25">
      <c r="A464" s="106"/>
      <c r="B464" s="422" t="s">
        <v>52</v>
      </c>
      <c r="C464" s="423"/>
      <c r="D464" s="424"/>
      <c r="E464" s="91">
        <f>E463+20</f>
        <v>220</v>
      </c>
      <c r="F464" s="144">
        <f t="shared" ref="F464:Q464" si="77">F463+F465</f>
        <v>4.32</v>
      </c>
      <c r="G464" s="144">
        <f t="shared" si="77"/>
        <v>2.5</v>
      </c>
      <c r="H464" s="144">
        <f t="shared" si="77"/>
        <v>9.8800000000000008</v>
      </c>
      <c r="I464" s="144">
        <f t="shared" si="77"/>
        <v>84.8</v>
      </c>
      <c r="J464" s="144">
        <f t="shared" si="77"/>
        <v>0</v>
      </c>
      <c r="K464" s="144">
        <f t="shared" si="77"/>
        <v>0</v>
      </c>
      <c r="L464" s="144">
        <f t="shared" si="77"/>
        <v>0</v>
      </c>
      <c r="M464" s="144">
        <f t="shared" si="77"/>
        <v>0</v>
      </c>
      <c r="N464" s="144">
        <f t="shared" si="77"/>
        <v>150.4</v>
      </c>
      <c r="O464" s="144">
        <f t="shared" si="77"/>
        <v>0</v>
      </c>
      <c r="P464" s="144">
        <f t="shared" si="77"/>
        <v>15.87</v>
      </c>
      <c r="Q464" s="144">
        <f t="shared" si="77"/>
        <v>0.33</v>
      </c>
      <c r="R464" s="280"/>
      <c r="S464" s="1"/>
    </row>
    <row r="465" spans="1:19" s="85" customFormat="1" ht="15.75" customHeight="1" x14ac:dyDescent="0.25">
      <c r="A465" s="219"/>
      <c r="B465" s="519" t="s">
        <v>53</v>
      </c>
      <c r="C465" s="520"/>
      <c r="D465" s="521"/>
      <c r="E465" s="230">
        <v>8</v>
      </c>
      <c r="F465" s="146"/>
      <c r="G465" s="146"/>
      <c r="H465" s="146"/>
      <c r="I465" s="146"/>
      <c r="J465" s="146"/>
      <c r="K465" s="146"/>
      <c r="L465" s="146"/>
      <c r="M465" s="146"/>
      <c r="N465" s="146">
        <v>29.44</v>
      </c>
      <c r="O465" s="146"/>
      <c r="P465" s="146">
        <v>1.76</v>
      </c>
      <c r="Q465" s="146">
        <v>0.23</v>
      </c>
      <c r="R465" s="280"/>
      <c r="S465" s="1"/>
    </row>
    <row r="466" spans="1:19" ht="15.75" customHeight="1" x14ac:dyDescent="0.25">
      <c r="A466" s="106"/>
      <c r="B466" s="422" t="s">
        <v>179</v>
      </c>
      <c r="C466" s="423"/>
      <c r="D466" s="424"/>
      <c r="E466" s="88">
        <f t="shared" ref="E466:M466" si="78">SUM(E433,E436,E446,E451,E461,E464)</f>
        <v>3370.52</v>
      </c>
      <c r="F466" s="144">
        <f t="shared" si="78"/>
        <v>158.31449999999998</v>
      </c>
      <c r="G466" s="144">
        <f t="shared" si="78"/>
        <v>138.006</v>
      </c>
      <c r="H466" s="144">
        <f t="shared" si="78"/>
        <v>506.55499999999995</v>
      </c>
      <c r="I466" s="144">
        <f t="shared" si="78"/>
        <v>4256.3440000000001</v>
      </c>
      <c r="J466" s="144">
        <f t="shared" si="78"/>
        <v>0.56000000000000005</v>
      </c>
      <c r="K466" s="144">
        <f t="shared" si="78"/>
        <v>65.248500000000007</v>
      </c>
      <c r="L466" s="144">
        <f t="shared" si="78"/>
        <v>0.13</v>
      </c>
      <c r="M466" s="144">
        <f t="shared" si="78"/>
        <v>6.73</v>
      </c>
      <c r="N466" s="144">
        <f>SUM(N433,N436,N446,N451,N461,N464,N465)</f>
        <v>1685.0174999999999</v>
      </c>
      <c r="O466" s="144">
        <f>SUM(O433,O436,O446,O451,O461,O464)</f>
        <v>293.95</v>
      </c>
      <c r="P466" s="144">
        <f>SUM(P433,P436,P446,P451,P461,P464)</f>
        <v>572.63700000000006</v>
      </c>
      <c r="Q466" s="144">
        <f>SUM(Q433,Q436,Q446,Q451,Q461,Q464)</f>
        <v>35.595999999999997</v>
      </c>
      <c r="R466" s="280"/>
      <c r="S466" s="1"/>
    </row>
    <row r="467" spans="1:19" ht="15.75" customHeight="1" x14ac:dyDescent="0.25">
      <c r="A467" s="4"/>
      <c r="B467" s="43"/>
      <c r="C467" s="43"/>
      <c r="D467" s="43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1"/>
      <c r="S467" s="1"/>
    </row>
    <row r="468" spans="1:19" ht="39.75" customHeight="1" x14ac:dyDescent="0.25">
      <c r="A468" s="523" t="s">
        <v>180</v>
      </c>
      <c r="B468" s="524"/>
      <c r="C468" s="524"/>
      <c r="D468" s="524"/>
      <c r="E468" s="524"/>
      <c r="F468" s="524"/>
      <c r="G468" s="524"/>
      <c r="H468" s="524"/>
      <c r="I468" s="524"/>
      <c r="J468" s="524"/>
      <c r="K468" s="524"/>
      <c r="L468" s="524"/>
      <c r="M468" s="524"/>
      <c r="N468" s="524"/>
      <c r="O468" s="524"/>
      <c r="P468" s="524"/>
      <c r="Q468" s="524"/>
      <c r="R468" s="525"/>
      <c r="S468" s="1"/>
    </row>
    <row r="469" spans="1:19" ht="15.75" customHeight="1" x14ac:dyDescent="0.25">
      <c r="A469" s="526" t="s">
        <v>3</v>
      </c>
      <c r="B469" s="528" t="s">
        <v>4</v>
      </c>
      <c r="C469" s="476"/>
      <c r="D469" s="477"/>
      <c r="E469" s="529" t="s">
        <v>5</v>
      </c>
      <c r="F469" s="530" t="s">
        <v>6</v>
      </c>
      <c r="G469" s="440"/>
      <c r="H469" s="441"/>
      <c r="I469" s="529" t="s">
        <v>7</v>
      </c>
      <c r="J469" s="530" t="s">
        <v>8</v>
      </c>
      <c r="K469" s="440"/>
      <c r="L469" s="440"/>
      <c r="M469" s="441"/>
      <c r="N469" s="530" t="s">
        <v>9</v>
      </c>
      <c r="O469" s="440"/>
      <c r="P469" s="440"/>
      <c r="Q469" s="441"/>
      <c r="R469" s="1"/>
      <c r="S469" s="1"/>
    </row>
    <row r="470" spans="1:19" ht="15.75" customHeight="1" x14ac:dyDescent="0.25">
      <c r="A470" s="527"/>
      <c r="B470" s="478"/>
      <c r="C470" s="479"/>
      <c r="D470" s="480"/>
      <c r="E470" s="527"/>
      <c r="F470" s="33" t="s">
        <v>10</v>
      </c>
      <c r="G470" s="33" t="s">
        <v>11</v>
      </c>
      <c r="H470" s="33" t="s">
        <v>12</v>
      </c>
      <c r="I470" s="527"/>
      <c r="J470" s="34" t="s">
        <v>13</v>
      </c>
      <c r="K470" s="34" t="s">
        <v>14</v>
      </c>
      <c r="L470" s="34" t="s">
        <v>15</v>
      </c>
      <c r="M470" s="35" t="s">
        <v>16</v>
      </c>
      <c r="N470" s="36" t="s">
        <v>17</v>
      </c>
      <c r="O470" s="34" t="s">
        <v>18</v>
      </c>
      <c r="P470" s="34" t="s">
        <v>19</v>
      </c>
      <c r="Q470" s="35" t="s">
        <v>20</v>
      </c>
      <c r="R470" s="1"/>
      <c r="S470" s="1"/>
    </row>
    <row r="471" spans="1:19" ht="15.75" customHeight="1" x14ac:dyDescent="0.25">
      <c r="A471" s="9">
        <v>1</v>
      </c>
      <c r="B471" s="532">
        <v>2</v>
      </c>
      <c r="C471" s="440"/>
      <c r="D471" s="441"/>
      <c r="E471" s="57">
        <v>3</v>
      </c>
      <c r="F471" s="57">
        <v>4</v>
      </c>
      <c r="G471" s="57">
        <v>5</v>
      </c>
      <c r="H471" s="57">
        <v>6</v>
      </c>
      <c r="I471" s="58">
        <v>7</v>
      </c>
      <c r="J471" s="57">
        <v>8</v>
      </c>
      <c r="K471" s="57">
        <v>9</v>
      </c>
      <c r="L471" s="57">
        <v>10</v>
      </c>
      <c r="M471" s="59">
        <v>11</v>
      </c>
      <c r="N471" s="57">
        <v>12</v>
      </c>
      <c r="O471" s="57">
        <v>13</v>
      </c>
      <c r="P471" s="57">
        <v>14</v>
      </c>
      <c r="Q471" s="60">
        <v>15</v>
      </c>
      <c r="R471" s="1"/>
      <c r="S471" s="1"/>
    </row>
    <row r="472" spans="1:19" ht="15.75" customHeight="1" x14ac:dyDescent="0.25">
      <c r="A472" s="201"/>
      <c r="B472" s="522" t="s">
        <v>21</v>
      </c>
      <c r="C472" s="446"/>
      <c r="D472" s="447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"/>
      <c r="S472" s="1"/>
    </row>
    <row r="473" spans="1:19" ht="17.25" customHeight="1" x14ac:dyDescent="0.25">
      <c r="A473" s="106">
        <v>3</v>
      </c>
      <c r="B473" s="439" t="s">
        <v>56</v>
      </c>
      <c r="C473" s="440"/>
      <c r="D473" s="441"/>
      <c r="E473" s="128" t="s">
        <v>181</v>
      </c>
      <c r="F473" s="129">
        <v>6.23</v>
      </c>
      <c r="G473" s="129">
        <v>10.83</v>
      </c>
      <c r="H473" s="129">
        <v>23.46</v>
      </c>
      <c r="I473" s="129">
        <v>216.14</v>
      </c>
      <c r="J473" s="129">
        <v>8.5000000000000006E-2</v>
      </c>
      <c r="K473" s="129">
        <v>0.19</v>
      </c>
      <c r="L473" s="129">
        <v>3.1E-2</v>
      </c>
      <c r="M473" s="129">
        <v>0.04</v>
      </c>
      <c r="N473" s="129">
        <v>134.9</v>
      </c>
      <c r="O473" s="129">
        <v>110.28</v>
      </c>
      <c r="P473" s="129">
        <v>23.44</v>
      </c>
      <c r="Q473" s="129">
        <v>0.89</v>
      </c>
      <c r="R473" s="72"/>
      <c r="S473" s="1"/>
    </row>
    <row r="474" spans="1:19" ht="16.5" customHeight="1" x14ac:dyDescent="0.25">
      <c r="A474" s="533">
        <v>210</v>
      </c>
      <c r="B474" s="534" t="s">
        <v>79</v>
      </c>
      <c r="C474" s="476"/>
      <c r="D474" s="477"/>
      <c r="E474" s="102">
        <v>220</v>
      </c>
      <c r="F474" s="531">
        <f>15*E474/160</f>
        <v>20.625</v>
      </c>
      <c r="G474" s="531">
        <f>23.29*E474/160</f>
        <v>32.02375</v>
      </c>
      <c r="H474" s="531">
        <f>2.95*E474/160</f>
        <v>4.0562500000000004</v>
      </c>
      <c r="I474" s="531">
        <f>281.41*E474/160</f>
        <v>386.93875000000003</v>
      </c>
      <c r="J474" s="531">
        <f>0*E474/160</f>
        <v>0</v>
      </c>
      <c r="K474" s="531">
        <f>0.3*E474/160</f>
        <v>0.41249999999999998</v>
      </c>
      <c r="L474" s="531">
        <f>0*E474/160</f>
        <v>0</v>
      </c>
      <c r="M474" s="531">
        <f>0*E474/160</f>
        <v>0</v>
      </c>
      <c r="N474" s="531">
        <f>125.6*E474/160</f>
        <v>172.7</v>
      </c>
      <c r="O474" s="531">
        <f>0*E474/160</f>
        <v>0</v>
      </c>
      <c r="P474" s="531">
        <f>20.8*E474/160</f>
        <v>28.6</v>
      </c>
      <c r="Q474" s="531">
        <f>3.08*E474/160</f>
        <v>4.2350000000000003</v>
      </c>
      <c r="R474" s="1"/>
      <c r="S474" s="1"/>
    </row>
    <row r="475" spans="1:19" ht="15.75" customHeight="1" x14ac:dyDescent="0.25">
      <c r="A475" s="471"/>
      <c r="B475" s="478"/>
      <c r="C475" s="479"/>
      <c r="D475" s="480"/>
      <c r="E475" s="128">
        <f>E474*3.125/100</f>
        <v>6.875</v>
      </c>
      <c r="F475" s="471"/>
      <c r="G475" s="471"/>
      <c r="H475" s="471"/>
      <c r="I475" s="471"/>
      <c r="J475" s="471"/>
      <c r="K475" s="471"/>
      <c r="L475" s="471"/>
      <c r="M475" s="471"/>
      <c r="N475" s="471"/>
      <c r="O475" s="471"/>
      <c r="P475" s="471"/>
      <c r="Q475" s="471"/>
      <c r="R475" s="1"/>
      <c r="S475" s="1"/>
    </row>
    <row r="476" spans="1:19" ht="15.75" customHeight="1" x14ac:dyDescent="0.25">
      <c r="A476" s="115" t="s">
        <v>27</v>
      </c>
      <c r="B476" s="448" t="s">
        <v>182</v>
      </c>
      <c r="C476" s="440"/>
      <c r="D476" s="441"/>
      <c r="E476" s="115">
        <v>50</v>
      </c>
      <c r="F476" s="115">
        <f>1.55*E476/50</f>
        <v>1.55</v>
      </c>
      <c r="G476" s="115">
        <f>0*E476/50</f>
        <v>0</v>
      </c>
      <c r="H476" s="115">
        <f>3.25*E476/50</f>
        <v>3.25</v>
      </c>
      <c r="I476" s="115">
        <f>22.5*E476/50</f>
        <v>22.5</v>
      </c>
      <c r="J476" s="115">
        <f>0*E476/50</f>
        <v>0</v>
      </c>
      <c r="K476" s="115">
        <f>5*E476/50</f>
        <v>5</v>
      </c>
      <c r="L476" s="115">
        <f>0*E476/50</f>
        <v>0</v>
      </c>
      <c r="M476" s="115">
        <v>0</v>
      </c>
      <c r="N476" s="115">
        <f>10*E476/50</f>
        <v>10</v>
      </c>
      <c r="O476" s="115">
        <v>0</v>
      </c>
      <c r="P476" s="115">
        <f>10*E476/50</f>
        <v>10</v>
      </c>
      <c r="Q476" s="115">
        <f>0.35*E476/50</f>
        <v>0.35</v>
      </c>
      <c r="R476" s="1"/>
      <c r="S476" s="1"/>
    </row>
    <row r="477" spans="1:19" ht="15.75" customHeight="1" x14ac:dyDescent="0.25">
      <c r="A477" s="106">
        <v>382</v>
      </c>
      <c r="B477" s="439" t="s">
        <v>58</v>
      </c>
      <c r="C477" s="440"/>
      <c r="D477" s="441"/>
      <c r="E477" s="130">
        <v>200</v>
      </c>
      <c r="F477" s="131">
        <v>3.08</v>
      </c>
      <c r="G477" s="131">
        <v>2.5</v>
      </c>
      <c r="H477" s="131">
        <v>22.54</v>
      </c>
      <c r="I477" s="131">
        <v>125</v>
      </c>
      <c r="J477" s="131">
        <v>3.2000000000000001E-2</v>
      </c>
      <c r="K477" s="131">
        <v>1</v>
      </c>
      <c r="L477" s="131">
        <v>0.02</v>
      </c>
      <c r="M477" s="131">
        <v>0.09</v>
      </c>
      <c r="N477" s="131">
        <v>121.76</v>
      </c>
      <c r="O477" s="131">
        <v>106.42</v>
      </c>
      <c r="P477" s="131">
        <v>15.8</v>
      </c>
      <c r="Q477" s="131">
        <v>0.39</v>
      </c>
      <c r="R477" s="1"/>
      <c r="S477" s="1"/>
    </row>
    <row r="478" spans="1:19" ht="15.75" customHeight="1" x14ac:dyDescent="0.25">
      <c r="A478" s="106" t="s">
        <v>27</v>
      </c>
      <c r="B478" s="439" t="s">
        <v>28</v>
      </c>
      <c r="C478" s="440"/>
      <c r="D478" s="441"/>
      <c r="E478" s="99">
        <v>45</v>
      </c>
      <c r="F478" s="117">
        <f>2.26*E478/30</f>
        <v>3.3899999999999997</v>
      </c>
      <c r="G478" s="117">
        <f>0.23*E478/30</f>
        <v>0.34499999999999997</v>
      </c>
      <c r="H478" s="117">
        <f>14.66*E478/30</f>
        <v>21.990000000000002</v>
      </c>
      <c r="I478" s="117">
        <f>68.86*E478/30</f>
        <v>103.28999999999999</v>
      </c>
      <c r="J478" s="117">
        <v>0</v>
      </c>
      <c r="K478" s="117">
        <v>0</v>
      </c>
      <c r="L478" s="117">
        <v>0</v>
      </c>
      <c r="M478" s="117">
        <v>0</v>
      </c>
      <c r="N478" s="117">
        <f>12.97*E478/30</f>
        <v>19.454999999999998</v>
      </c>
      <c r="O478" s="117">
        <v>0</v>
      </c>
      <c r="P478" s="117">
        <f>2.83*E478/30</f>
        <v>4.2450000000000001</v>
      </c>
      <c r="Q478" s="117">
        <f>0.74*E478/30</f>
        <v>1.1099999999999999</v>
      </c>
      <c r="R478" s="1"/>
      <c r="S478" s="1"/>
    </row>
    <row r="479" spans="1:19" ht="15.75" customHeight="1" x14ac:dyDescent="0.25">
      <c r="A479" s="106"/>
      <c r="B479" s="442" t="s">
        <v>29</v>
      </c>
      <c r="C479" s="472"/>
      <c r="D479" s="473"/>
      <c r="E479" s="99">
        <f>SUM(E473:E477)+5+15+30</f>
        <v>526.875</v>
      </c>
      <c r="F479" s="117">
        <f t="shared" ref="F479:J479" si="79">SUM(F473:F478)</f>
        <v>34.875</v>
      </c>
      <c r="G479" s="117">
        <f t="shared" si="79"/>
        <v>45.698749999999997</v>
      </c>
      <c r="H479" s="117">
        <f t="shared" si="79"/>
        <v>75.296250000000001</v>
      </c>
      <c r="I479" s="117">
        <f t="shared" si="79"/>
        <v>853.86874999999998</v>
      </c>
      <c r="J479" s="132">
        <f t="shared" si="79"/>
        <v>0.11700000000000001</v>
      </c>
      <c r="K479" s="132">
        <f t="shared" ref="K479:M479" si="80">SUM(K473:K477)</f>
        <v>6.6025</v>
      </c>
      <c r="L479" s="117">
        <f t="shared" si="80"/>
        <v>5.1000000000000004E-2</v>
      </c>
      <c r="M479" s="117">
        <f t="shared" si="80"/>
        <v>0.13</v>
      </c>
      <c r="N479" s="117">
        <f>SUM(N473:N478)</f>
        <v>458.815</v>
      </c>
      <c r="O479" s="117">
        <f>SUM(O473:O477)</f>
        <v>216.7</v>
      </c>
      <c r="P479" s="117">
        <f t="shared" ref="P479:Q479" si="81">SUM(P473:P478)</f>
        <v>82.085000000000008</v>
      </c>
      <c r="Q479" s="117">
        <f t="shared" si="81"/>
        <v>6.9749999999999996</v>
      </c>
      <c r="R479" s="1"/>
      <c r="S479" s="1"/>
    </row>
    <row r="480" spans="1:19" ht="15.75" customHeight="1" x14ac:dyDescent="0.25">
      <c r="A480" s="201"/>
      <c r="B480" s="522" t="s">
        <v>30</v>
      </c>
      <c r="C480" s="446"/>
      <c r="D480" s="447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"/>
      <c r="S480" s="1"/>
    </row>
    <row r="481" spans="1:19" ht="15.75" customHeight="1" x14ac:dyDescent="0.25">
      <c r="A481" s="106">
        <v>338</v>
      </c>
      <c r="B481" s="439" t="s">
        <v>31</v>
      </c>
      <c r="C481" s="440"/>
      <c r="D481" s="441"/>
      <c r="E481" s="133">
        <v>300</v>
      </c>
      <c r="F481" s="133">
        <v>1.2</v>
      </c>
      <c r="G481" s="134">
        <v>1.2</v>
      </c>
      <c r="H481" s="133">
        <v>29.4</v>
      </c>
      <c r="I481" s="133">
        <v>132</v>
      </c>
      <c r="J481" s="133">
        <v>0</v>
      </c>
      <c r="K481" s="133">
        <v>30</v>
      </c>
      <c r="L481" s="133">
        <v>0</v>
      </c>
      <c r="M481" s="133">
        <v>0</v>
      </c>
      <c r="N481" s="133">
        <v>48</v>
      </c>
      <c r="O481" s="133">
        <v>0</v>
      </c>
      <c r="P481" s="133">
        <v>27</v>
      </c>
      <c r="Q481" s="133">
        <v>6.6</v>
      </c>
      <c r="R481" s="1"/>
      <c r="S481" s="1"/>
    </row>
    <row r="482" spans="1:19" ht="15.75" customHeight="1" x14ac:dyDescent="0.25">
      <c r="A482" s="106"/>
      <c r="B482" s="442" t="s">
        <v>112</v>
      </c>
      <c r="C482" s="472"/>
      <c r="D482" s="473"/>
      <c r="E482" s="106">
        <f>E481</f>
        <v>300</v>
      </c>
      <c r="F482" s="106">
        <f t="shared" ref="F482:Q482" si="82">SUM(F481)</f>
        <v>1.2</v>
      </c>
      <c r="G482" s="132">
        <f t="shared" si="82"/>
        <v>1.2</v>
      </c>
      <c r="H482" s="106">
        <f t="shared" si="82"/>
        <v>29.4</v>
      </c>
      <c r="I482" s="106">
        <f t="shared" si="82"/>
        <v>132</v>
      </c>
      <c r="J482" s="106">
        <f t="shared" si="82"/>
        <v>0</v>
      </c>
      <c r="K482" s="106">
        <f t="shared" si="82"/>
        <v>30</v>
      </c>
      <c r="L482" s="106">
        <f t="shared" si="82"/>
        <v>0</v>
      </c>
      <c r="M482" s="106">
        <f t="shared" si="82"/>
        <v>0</v>
      </c>
      <c r="N482" s="106">
        <f t="shared" si="82"/>
        <v>48</v>
      </c>
      <c r="O482" s="106">
        <f t="shared" si="82"/>
        <v>0</v>
      </c>
      <c r="P482" s="106">
        <f t="shared" si="82"/>
        <v>27</v>
      </c>
      <c r="Q482" s="106">
        <f t="shared" si="82"/>
        <v>6.6</v>
      </c>
      <c r="R482" s="1"/>
      <c r="S482" s="1"/>
    </row>
    <row r="483" spans="1:19" ht="15.75" customHeight="1" x14ac:dyDescent="0.25">
      <c r="A483" s="201"/>
      <c r="B483" s="522" t="s">
        <v>33</v>
      </c>
      <c r="C483" s="446"/>
      <c r="D483" s="447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"/>
      <c r="S483" s="1"/>
    </row>
    <row r="484" spans="1:19" ht="15.75" customHeight="1" x14ac:dyDescent="0.25">
      <c r="A484" s="106">
        <v>71</v>
      </c>
      <c r="B484" s="439" t="s">
        <v>183</v>
      </c>
      <c r="C484" s="440"/>
      <c r="D484" s="441"/>
      <c r="E484" s="99">
        <v>100</v>
      </c>
      <c r="F484" s="117">
        <f>0.8*E484/100</f>
        <v>0.8</v>
      </c>
      <c r="G484" s="117">
        <f>0*F484/100</f>
        <v>0</v>
      </c>
      <c r="H484" s="117">
        <f>3.4*E484/100</f>
        <v>3.4</v>
      </c>
      <c r="I484" s="117">
        <f>16.8*E484/100</f>
        <v>16.8</v>
      </c>
      <c r="J484" s="117">
        <f>0*E484/100</f>
        <v>0</v>
      </c>
      <c r="K484" s="117">
        <f>10*E484/100</f>
        <v>10</v>
      </c>
      <c r="L484" s="117">
        <f>0*E484/100</f>
        <v>0</v>
      </c>
      <c r="M484" s="117">
        <f>0*E484/100</f>
        <v>0</v>
      </c>
      <c r="N484" s="117">
        <f>23*E484/100</f>
        <v>23</v>
      </c>
      <c r="O484" s="117">
        <f>0*E484/100</f>
        <v>0</v>
      </c>
      <c r="P484" s="117">
        <f>13*E484/100</f>
        <v>13</v>
      </c>
      <c r="Q484" s="117">
        <f>0.3*E484/100</f>
        <v>0.3</v>
      </c>
      <c r="R484" s="29"/>
      <c r="S484" s="29"/>
    </row>
    <row r="485" spans="1:19" ht="15.75" customHeight="1" x14ac:dyDescent="0.25">
      <c r="A485" s="535">
        <v>82</v>
      </c>
      <c r="B485" s="534" t="s">
        <v>184</v>
      </c>
      <c r="C485" s="476"/>
      <c r="D485" s="477"/>
      <c r="E485" s="135">
        <v>300</v>
      </c>
      <c r="F485" s="512">
        <f>4.85*E485/250</f>
        <v>5.82</v>
      </c>
      <c r="G485" s="512">
        <f>5.32*E485/250</f>
        <v>6.3840000000000003</v>
      </c>
      <c r="H485" s="512">
        <f>5.32*E485/250</f>
        <v>6.3840000000000003</v>
      </c>
      <c r="I485" s="512">
        <f>152.38*E485/250</f>
        <v>182.85599999999999</v>
      </c>
      <c r="J485" s="512">
        <f>0.073*E485/250</f>
        <v>8.7599999999999997E-2</v>
      </c>
      <c r="K485" s="512">
        <f>38.9*E485/250</f>
        <v>46.68</v>
      </c>
      <c r="L485" s="512">
        <v>0</v>
      </c>
      <c r="M485" s="512">
        <v>0</v>
      </c>
      <c r="N485" s="512">
        <f>53.24*E485/250</f>
        <v>63.887999999999998</v>
      </c>
      <c r="O485" s="512">
        <f>70.7*E485/250</f>
        <v>84.84</v>
      </c>
      <c r="P485" s="512">
        <f>38.45*E485/250</f>
        <v>46.14</v>
      </c>
      <c r="Q485" s="512">
        <f>1.59*E485/250</f>
        <v>1.9079999999999999</v>
      </c>
      <c r="R485" s="29"/>
      <c r="S485" s="29"/>
    </row>
    <row r="486" spans="1:19" ht="21" customHeight="1" x14ac:dyDescent="0.25">
      <c r="A486" s="471"/>
      <c r="B486" s="478"/>
      <c r="C486" s="479"/>
      <c r="D486" s="480"/>
      <c r="E486" s="115">
        <f>E485*4/100</f>
        <v>12</v>
      </c>
      <c r="F486" s="471"/>
      <c r="G486" s="471"/>
      <c r="H486" s="471"/>
      <c r="I486" s="471"/>
      <c r="J486" s="471"/>
      <c r="K486" s="471"/>
      <c r="L486" s="471"/>
      <c r="M486" s="471"/>
      <c r="N486" s="471"/>
      <c r="O486" s="471"/>
      <c r="P486" s="471"/>
      <c r="Q486" s="471"/>
      <c r="R486" s="39"/>
      <c r="S486" s="39"/>
    </row>
    <row r="487" spans="1:19" ht="30.75" customHeight="1" x14ac:dyDescent="0.25">
      <c r="A487" s="102">
        <v>230</v>
      </c>
      <c r="B487" s="482" t="s">
        <v>185</v>
      </c>
      <c r="C487" s="440"/>
      <c r="D487" s="441"/>
      <c r="E487" s="115">
        <v>120</v>
      </c>
      <c r="F487" s="136">
        <f>15.28*E487/110</f>
        <v>16.669090909090908</v>
      </c>
      <c r="G487" s="136">
        <f>14.85*E487/110</f>
        <v>16.2</v>
      </c>
      <c r="H487" s="136">
        <f>4.4*E487/110</f>
        <v>4.8</v>
      </c>
      <c r="I487" s="136">
        <f>212*E487/110</f>
        <v>231.27272727272728</v>
      </c>
      <c r="J487" s="136">
        <v>0</v>
      </c>
      <c r="K487" s="136">
        <f>1.56*E487/110</f>
        <v>1.7018181818181819</v>
      </c>
      <c r="L487" s="136">
        <v>0</v>
      </c>
      <c r="M487" s="136">
        <v>0</v>
      </c>
      <c r="N487" s="136">
        <f>42.92*E487/110</f>
        <v>46.821818181818188</v>
      </c>
      <c r="O487" s="136">
        <v>0</v>
      </c>
      <c r="P487" s="136">
        <f>42.6*E487/110</f>
        <v>46.472727272727276</v>
      </c>
      <c r="Q487" s="136">
        <f>0.84*E487/110</f>
        <v>0.91636363636363638</v>
      </c>
      <c r="R487" s="39"/>
      <c r="S487" s="39"/>
    </row>
    <row r="488" spans="1:19" ht="15.75" customHeight="1" x14ac:dyDescent="0.25">
      <c r="A488" s="126">
        <v>312</v>
      </c>
      <c r="B488" s="439" t="s">
        <v>64</v>
      </c>
      <c r="C488" s="440"/>
      <c r="D488" s="441"/>
      <c r="E488" s="137">
        <v>220</v>
      </c>
      <c r="F488" s="117">
        <f>4.16*E488/200</f>
        <v>4.5760000000000005</v>
      </c>
      <c r="G488" s="117">
        <f>6.8*E488/200</f>
        <v>7.48</v>
      </c>
      <c r="H488" s="117">
        <f>24.76*E488/200</f>
        <v>27.236000000000004</v>
      </c>
      <c r="I488" s="117">
        <f>176.88*E488/200</f>
        <v>194.56799999999998</v>
      </c>
      <c r="J488" s="117">
        <f>0*E488/200</f>
        <v>0</v>
      </c>
      <c r="K488" s="117">
        <f>23.7*E488/200</f>
        <v>26.07</v>
      </c>
      <c r="L488" s="117">
        <f>0*E488/200</f>
        <v>0</v>
      </c>
      <c r="M488" s="117">
        <f>0*E488/200</f>
        <v>0</v>
      </c>
      <c r="N488" s="117">
        <f>49.54*E488/200</f>
        <v>54.494</v>
      </c>
      <c r="O488" s="117">
        <f>0*E488/200</f>
        <v>0</v>
      </c>
      <c r="P488" s="117">
        <f>31.32*E488/200</f>
        <v>34.451999999999998</v>
      </c>
      <c r="Q488" s="117">
        <f>1.09*E488/200</f>
        <v>1.1990000000000001</v>
      </c>
      <c r="R488" s="29"/>
      <c r="S488" s="29"/>
    </row>
    <row r="489" spans="1:19" ht="15.75" customHeight="1" x14ac:dyDescent="0.25">
      <c r="A489" s="106">
        <v>342</v>
      </c>
      <c r="B489" s="439" t="s">
        <v>38</v>
      </c>
      <c r="C489" s="440"/>
      <c r="D489" s="441"/>
      <c r="E489" s="99">
        <v>200</v>
      </c>
      <c r="F489" s="117">
        <v>0.08</v>
      </c>
      <c r="G489" s="117">
        <v>0</v>
      </c>
      <c r="H489" s="117">
        <v>21.82</v>
      </c>
      <c r="I489" s="117">
        <v>87.6</v>
      </c>
      <c r="J489" s="117">
        <v>0</v>
      </c>
      <c r="K489" s="117">
        <v>2.25</v>
      </c>
      <c r="L489" s="117">
        <v>0</v>
      </c>
      <c r="M489" s="117">
        <v>0</v>
      </c>
      <c r="N489" s="117">
        <v>17</v>
      </c>
      <c r="O489" s="117">
        <v>0</v>
      </c>
      <c r="P489" s="117">
        <v>9</v>
      </c>
      <c r="Q489" s="117">
        <v>2.2000000000000002</v>
      </c>
      <c r="R489" s="29"/>
      <c r="S489" s="29"/>
    </row>
    <row r="490" spans="1:19" ht="15.75" customHeight="1" x14ac:dyDescent="0.25">
      <c r="A490" s="106" t="s">
        <v>27</v>
      </c>
      <c r="B490" s="41" t="s">
        <v>39</v>
      </c>
      <c r="C490" s="41"/>
      <c r="D490" s="41"/>
      <c r="E490" s="99">
        <v>120</v>
      </c>
      <c r="F490" s="117">
        <f>4.03*E490/50</f>
        <v>9.6720000000000006</v>
      </c>
      <c r="G490" s="117">
        <f>0.5*E490/50</f>
        <v>1.2</v>
      </c>
      <c r="H490" s="117">
        <f>22.36*E490/50</f>
        <v>53.663999999999994</v>
      </c>
      <c r="I490" s="117">
        <f>98.86*E490/50</f>
        <v>237.26400000000001</v>
      </c>
      <c r="J490" s="117">
        <v>0</v>
      </c>
      <c r="K490" s="117">
        <v>0</v>
      </c>
      <c r="L490" s="117">
        <v>0</v>
      </c>
      <c r="M490" s="117">
        <v>0</v>
      </c>
      <c r="N490" s="117">
        <f>17.59*E490/50</f>
        <v>42.216000000000001</v>
      </c>
      <c r="O490" s="117">
        <v>0</v>
      </c>
      <c r="P490" s="117">
        <f>1.89*E490/50</f>
        <v>4.5359999999999996</v>
      </c>
      <c r="Q490" s="117">
        <f>0.88*E490/50</f>
        <v>2.1120000000000001</v>
      </c>
      <c r="R490" s="17"/>
      <c r="S490" s="17"/>
    </row>
    <row r="491" spans="1:19" ht="15.75" customHeight="1" x14ac:dyDescent="0.25">
      <c r="A491" s="106" t="s">
        <v>27</v>
      </c>
      <c r="B491" s="439" t="s">
        <v>28</v>
      </c>
      <c r="C491" s="440"/>
      <c r="D491" s="441"/>
      <c r="E491" s="99">
        <v>45</v>
      </c>
      <c r="F491" s="117">
        <f>2.26*E491/30</f>
        <v>3.3899999999999997</v>
      </c>
      <c r="G491" s="117">
        <f>0.23*E491/30</f>
        <v>0.34499999999999997</v>
      </c>
      <c r="H491" s="117">
        <f>14.66*E491/30</f>
        <v>21.990000000000002</v>
      </c>
      <c r="I491" s="117">
        <f>68.86*E491/30</f>
        <v>103.28999999999999</v>
      </c>
      <c r="J491" s="117">
        <v>0</v>
      </c>
      <c r="K491" s="117">
        <v>0</v>
      </c>
      <c r="L491" s="117">
        <v>0</v>
      </c>
      <c r="M491" s="117">
        <v>0</v>
      </c>
      <c r="N491" s="117">
        <f>12.97*E491/30</f>
        <v>19.454999999999998</v>
      </c>
      <c r="O491" s="117">
        <v>0</v>
      </c>
      <c r="P491" s="117">
        <f>2.83*E491/30</f>
        <v>4.2450000000000001</v>
      </c>
      <c r="Q491" s="117">
        <f>0.74*E491/30</f>
        <v>1.1099999999999999</v>
      </c>
      <c r="R491" s="17"/>
      <c r="S491" s="17"/>
    </row>
    <row r="492" spans="1:19" ht="18" customHeight="1" x14ac:dyDescent="0.25">
      <c r="A492" s="106"/>
      <c r="B492" s="442" t="s">
        <v>65</v>
      </c>
      <c r="C492" s="443"/>
      <c r="D492" s="444"/>
      <c r="E492" s="99">
        <f t="shared" ref="E492:Q492" si="83">SUM(E484:E491)</f>
        <v>1117</v>
      </c>
      <c r="F492" s="117">
        <f t="shared" si="83"/>
        <v>41.007090909090905</v>
      </c>
      <c r="G492" s="117">
        <f t="shared" si="83"/>
        <v>31.608999999999998</v>
      </c>
      <c r="H492" s="117">
        <f t="shared" si="83"/>
        <v>139.29400000000001</v>
      </c>
      <c r="I492" s="117">
        <f t="shared" si="83"/>
        <v>1053.6507272727274</v>
      </c>
      <c r="J492" s="117">
        <f t="shared" si="83"/>
        <v>8.7599999999999997E-2</v>
      </c>
      <c r="K492" s="117">
        <f t="shared" si="83"/>
        <v>86.701818181818183</v>
      </c>
      <c r="L492" s="117">
        <f t="shared" si="83"/>
        <v>0</v>
      </c>
      <c r="M492" s="117">
        <f t="shared" si="83"/>
        <v>0</v>
      </c>
      <c r="N492" s="117">
        <f t="shared" si="83"/>
        <v>266.87481818181823</v>
      </c>
      <c r="O492" s="117">
        <f t="shared" si="83"/>
        <v>84.84</v>
      </c>
      <c r="P492" s="117">
        <f t="shared" si="83"/>
        <v>157.84572727272729</v>
      </c>
      <c r="Q492" s="117">
        <f t="shared" si="83"/>
        <v>9.7453636363636349</v>
      </c>
      <c r="R492" s="29"/>
      <c r="S492" s="29"/>
    </row>
    <row r="493" spans="1:19" ht="18" customHeight="1" x14ac:dyDescent="0.25">
      <c r="A493" s="201"/>
      <c r="B493" s="536" t="s">
        <v>41</v>
      </c>
      <c r="C493" s="446"/>
      <c r="D493" s="447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"/>
      <c r="S493" s="1"/>
    </row>
    <row r="494" spans="1:19" ht="18" customHeight="1" x14ac:dyDescent="0.25">
      <c r="A494" s="157" t="s">
        <v>84</v>
      </c>
      <c r="B494" s="448" t="s">
        <v>101</v>
      </c>
      <c r="C494" s="440"/>
      <c r="D494" s="441"/>
      <c r="E494" s="115">
        <v>100</v>
      </c>
      <c r="F494" s="115">
        <f>6.83*E494/100</f>
        <v>6.83</v>
      </c>
      <c r="G494" s="115">
        <f>5.33*E494/100</f>
        <v>5.33</v>
      </c>
      <c r="H494" s="115">
        <f>39.3*E494/100</f>
        <v>39.299999999999997</v>
      </c>
      <c r="I494" s="115">
        <f>234*E494/100</f>
        <v>234</v>
      </c>
      <c r="J494" s="115">
        <v>0</v>
      </c>
      <c r="K494" s="115">
        <f>0.85*E494/100</f>
        <v>0.85</v>
      </c>
      <c r="L494" s="115">
        <v>0</v>
      </c>
      <c r="M494" s="115">
        <v>0</v>
      </c>
      <c r="N494" s="115">
        <f>22.83*E494/100</f>
        <v>22.83</v>
      </c>
      <c r="O494" s="115">
        <v>0</v>
      </c>
      <c r="P494" s="115">
        <f>28*E494/100</f>
        <v>28</v>
      </c>
      <c r="Q494" s="115">
        <f>1.35*E494/100</f>
        <v>1.35</v>
      </c>
      <c r="R494" s="29"/>
      <c r="S494" s="29"/>
    </row>
    <row r="495" spans="1:19" ht="15.75" customHeight="1" x14ac:dyDescent="0.25">
      <c r="A495" s="106">
        <v>379</v>
      </c>
      <c r="B495" s="439" t="s">
        <v>26</v>
      </c>
      <c r="C495" s="440"/>
      <c r="D495" s="441"/>
      <c r="E495" s="115">
        <v>200</v>
      </c>
      <c r="F495" s="115">
        <v>3.58</v>
      </c>
      <c r="G495" s="115">
        <v>2.68</v>
      </c>
      <c r="H495" s="115">
        <v>28.34</v>
      </c>
      <c r="I495" s="115">
        <v>151.80000000000001</v>
      </c>
      <c r="J495" s="115">
        <v>0.02</v>
      </c>
      <c r="K495" s="115">
        <v>0.04</v>
      </c>
      <c r="L495" s="115">
        <v>0.1</v>
      </c>
      <c r="M495" s="115">
        <v>1.3</v>
      </c>
      <c r="N495" s="115">
        <v>125.78</v>
      </c>
      <c r="O495" s="115">
        <v>0</v>
      </c>
      <c r="P495" s="115">
        <v>14</v>
      </c>
      <c r="Q495" s="115">
        <v>0.13</v>
      </c>
      <c r="R495" s="29"/>
      <c r="S495" s="29"/>
    </row>
    <row r="496" spans="1:19" ht="15.75" customHeight="1" x14ac:dyDescent="0.25">
      <c r="A496" s="106"/>
      <c r="B496" s="442" t="s">
        <v>86</v>
      </c>
      <c r="C496" s="472"/>
      <c r="D496" s="473"/>
      <c r="E496" s="106">
        <f>SUM(E494:E495)</f>
        <v>300</v>
      </c>
      <c r="F496" s="106">
        <f t="shared" ref="F496:Q496" si="84">F494+F495</f>
        <v>10.41</v>
      </c>
      <c r="G496" s="106">
        <f t="shared" si="84"/>
        <v>8.01</v>
      </c>
      <c r="H496" s="106">
        <f t="shared" si="84"/>
        <v>67.64</v>
      </c>
      <c r="I496" s="106">
        <f t="shared" si="84"/>
        <v>385.8</v>
      </c>
      <c r="J496" s="106">
        <f t="shared" si="84"/>
        <v>0.02</v>
      </c>
      <c r="K496" s="132">
        <f t="shared" si="84"/>
        <v>0.89</v>
      </c>
      <c r="L496" s="106">
        <f t="shared" si="84"/>
        <v>0.1</v>
      </c>
      <c r="M496" s="106">
        <f t="shared" si="84"/>
        <v>1.3</v>
      </c>
      <c r="N496" s="106">
        <f t="shared" si="84"/>
        <v>148.61000000000001</v>
      </c>
      <c r="O496" s="106">
        <f t="shared" si="84"/>
        <v>0</v>
      </c>
      <c r="P496" s="106">
        <f t="shared" si="84"/>
        <v>42</v>
      </c>
      <c r="Q496" s="106">
        <f t="shared" si="84"/>
        <v>1.48</v>
      </c>
      <c r="R496" s="17"/>
      <c r="S496" s="17"/>
    </row>
    <row r="497" spans="1:19" ht="15.75" customHeight="1" x14ac:dyDescent="0.25">
      <c r="A497" s="106"/>
      <c r="B497" s="538" t="s">
        <v>44</v>
      </c>
      <c r="C497" s="446"/>
      <c r="D497" s="447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29"/>
      <c r="S497" s="29"/>
    </row>
    <row r="498" spans="1:19" ht="13.5" customHeight="1" x14ac:dyDescent="0.25">
      <c r="A498" s="106">
        <v>75</v>
      </c>
      <c r="B498" s="439" t="s">
        <v>186</v>
      </c>
      <c r="C498" s="440"/>
      <c r="D498" s="441"/>
      <c r="E498" s="138">
        <v>100</v>
      </c>
      <c r="F498" s="139">
        <f>2.3*E498/100</f>
        <v>2.2999999999999998</v>
      </c>
      <c r="G498" s="139">
        <f>6.8*E498/100</f>
        <v>6.8</v>
      </c>
      <c r="H498" s="139">
        <f>15.4*E498/100</f>
        <v>15.4</v>
      </c>
      <c r="I498" s="139">
        <f>132*E498/100</f>
        <v>132</v>
      </c>
      <c r="J498" s="129">
        <v>0</v>
      </c>
      <c r="K498" s="129">
        <f>6.72*E498/100</f>
        <v>6.72</v>
      </c>
      <c r="L498" s="129">
        <v>0</v>
      </c>
      <c r="M498" s="139">
        <v>0</v>
      </c>
      <c r="N498" s="139">
        <f>38.2*E498/100</f>
        <v>38.200000000000003</v>
      </c>
      <c r="O498" s="139">
        <v>0</v>
      </c>
      <c r="P498" s="129">
        <f>29.6*E498/100</f>
        <v>29.6</v>
      </c>
      <c r="Q498" s="139">
        <f>17.69*E498/100</f>
        <v>17.690000000000001</v>
      </c>
      <c r="R498" s="29"/>
      <c r="S498" s="29"/>
    </row>
    <row r="499" spans="1:19" ht="15.75" customHeight="1" x14ac:dyDescent="0.25">
      <c r="A499" s="470">
        <v>256</v>
      </c>
      <c r="B499" s="539" t="s">
        <v>187</v>
      </c>
      <c r="C499" s="476"/>
      <c r="D499" s="477"/>
      <c r="E499" s="140">
        <v>100</v>
      </c>
      <c r="F499" s="537">
        <v>33</v>
      </c>
      <c r="G499" s="537">
        <v>13.4</v>
      </c>
      <c r="H499" s="537">
        <v>6.2</v>
      </c>
      <c r="I499" s="537">
        <v>277.39999999999998</v>
      </c>
      <c r="J499" s="537">
        <v>0</v>
      </c>
      <c r="K499" s="537">
        <v>0.54</v>
      </c>
      <c r="L499" s="537">
        <v>0</v>
      </c>
      <c r="M499" s="537">
        <v>0</v>
      </c>
      <c r="N499" s="537">
        <v>42.45</v>
      </c>
      <c r="O499" s="537">
        <v>0</v>
      </c>
      <c r="P499" s="537">
        <v>46.12</v>
      </c>
      <c r="Q499" s="537">
        <v>4.8899999999999997</v>
      </c>
      <c r="R499" s="17"/>
      <c r="S499" s="17"/>
    </row>
    <row r="500" spans="1:19" ht="15.75" customHeight="1" x14ac:dyDescent="0.25">
      <c r="A500" s="471"/>
      <c r="B500" s="478"/>
      <c r="C500" s="479"/>
      <c r="D500" s="480"/>
      <c r="E500" s="141">
        <v>100</v>
      </c>
      <c r="F500" s="471"/>
      <c r="G500" s="471"/>
      <c r="H500" s="471"/>
      <c r="I500" s="471"/>
      <c r="J500" s="471"/>
      <c r="K500" s="471"/>
      <c r="L500" s="471"/>
      <c r="M500" s="471"/>
      <c r="N500" s="471"/>
      <c r="O500" s="471"/>
      <c r="P500" s="471"/>
      <c r="Q500" s="471"/>
      <c r="R500" s="17"/>
      <c r="S500" s="17"/>
    </row>
    <row r="501" spans="1:19" ht="15.75" customHeight="1" x14ac:dyDescent="0.25">
      <c r="A501" s="115">
        <v>309</v>
      </c>
      <c r="B501" s="448" t="s">
        <v>161</v>
      </c>
      <c r="C501" s="440"/>
      <c r="D501" s="441"/>
      <c r="E501" s="128">
        <v>200</v>
      </c>
      <c r="F501" s="129">
        <v>7.14</v>
      </c>
      <c r="G501" s="129">
        <v>6.46</v>
      </c>
      <c r="H501" s="129">
        <v>38.1</v>
      </c>
      <c r="I501" s="142">
        <v>239.1</v>
      </c>
      <c r="J501" s="139">
        <v>0</v>
      </c>
      <c r="K501" s="139">
        <v>0</v>
      </c>
      <c r="L501" s="139">
        <v>0</v>
      </c>
      <c r="M501" s="139" t="s">
        <v>35</v>
      </c>
      <c r="N501" s="139">
        <v>16</v>
      </c>
      <c r="O501" s="139">
        <v>0</v>
      </c>
      <c r="P501" s="139">
        <v>24</v>
      </c>
      <c r="Q501" s="139">
        <v>2.1</v>
      </c>
      <c r="R501" s="25"/>
      <c r="S501" s="25"/>
    </row>
    <row r="502" spans="1:19" ht="15.75" customHeight="1" x14ac:dyDescent="0.25">
      <c r="A502" s="106">
        <v>389</v>
      </c>
      <c r="B502" s="540" t="s">
        <v>188</v>
      </c>
      <c r="C502" s="440"/>
      <c r="D502" s="441"/>
      <c r="E502" s="100">
        <v>200</v>
      </c>
      <c r="F502" s="117">
        <v>1</v>
      </c>
      <c r="G502" s="117">
        <v>0</v>
      </c>
      <c r="H502" s="117">
        <v>20.2</v>
      </c>
      <c r="I502" s="117">
        <v>84.8</v>
      </c>
      <c r="J502" s="117">
        <v>0</v>
      </c>
      <c r="K502" s="117">
        <v>4</v>
      </c>
      <c r="L502" s="117">
        <v>0</v>
      </c>
      <c r="M502" s="117">
        <v>0</v>
      </c>
      <c r="N502" s="117">
        <v>14</v>
      </c>
      <c r="O502" s="117">
        <v>0</v>
      </c>
      <c r="P502" s="117">
        <v>8</v>
      </c>
      <c r="Q502" s="117">
        <v>2.8</v>
      </c>
      <c r="R502" s="29"/>
      <c r="S502" s="29"/>
    </row>
    <row r="503" spans="1:19" ht="15.75" customHeight="1" x14ac:dyDescent="0.25">
      <c r="A503" s="106" t="s">
        <v>27</v>
      </c>
      <c r="B503" s="41" t="s">
        <v>39</v>
      </c>
      <c r="C503" s="41"/>
      <c r="D503" s="41"/>
      <c r="E503" s="99">
        <v>75</v>
      </c>
      <c r="F503" s="117">
        <f>4.03*E503/50</f>
        <v>6.0449999999999999</v>
      </c>
      <c r="G503" s="117">
        <f>0.5*E503/50</f>
        <v>0.75</v>
      </c>
      <c r="H503" s="117">
        <f>22.36*E503/50</f>
        <v>33.54</v>
      </c>
      <c r="I503" s="117">
        <f>98.86*E503/50</f>
        <v>148.29</v>
      </c>
      <c r="J503" s="117">
        <v>0</v>
      </c>
      <c r="K503" s="117">
        <v>0</v>
      </c>
      <c r="L503" s="117">
        <v>0</v>
      </c>
      <c r="M503" s="117">
        <v>0</v>
      </c>
      <c r="N503" s="117">
        <f>17.59*E503/50</f>
        <v>26.385000000000002</v>
      </c>
      <c r="O503" s="117">
        <v>0</v>
      </c>
      <c r="P503" s="117">
        <f>1.89*E503/50</f>
        <v>2.835</v>
      </c>
      <c r="Q503" s="117">
        <f>0.88*E503/50</f>
        <v>1.32</v>
      </c>
      <c r="R503" s="17"/>
      <c r="S503" s="17"/>
    </row>
    <row r="504" spans="1:19" ht="15.75" customHeight="1" x14ac:dyDescent="0.25">
      <c r="A504" s="106" t="s">
        <v>27</v>
      </c>
      <c r="B504" s="439" t="s">
        <v>28</v>
      </c>
      <c r="C504" s="440"/>
      <c r="D504" s="441"/>
      <c r="E504" s="99">
        <v>45</v>
      </c>
      <c r="F504" s="117">
        <f>2.26*E504/30</f>
        <v>3.3899999999999997</v>
      </c>
      <c r="G504" s="117">
        <f>0.23*E504/30</f>
        <v>0.34499999999999997</v>
      </c>
      <c r="H504" s="117">
        <f>14.66*E504/30</f>
        <v>21.990000000000002</v>
      </c>
      <c r="I504" s="117">
        <f>68.86*E504/30</f>
        <v>103.28999999999999</v>
      </c>
      <c r="J504" s="117">
        <v>0</v>
      </c>
      <c r="K504" s="117">
        <v>0</v>
      </c>
      <c r="L504" s="117">
        <v>0</v>
      </c>
      <c r="M504" s="117">
        <v>0</v>
      </c>
      <c r="N504" s="117">
        <f>12.97*E504/30</f>
        <v>19.454999999999998</v>
      </c>
      <c r="O504" s="117">
        <v>0</v>
      </c>
      <c r="P504" s="117">
        <f>2.83*E504/30</f>
        <v>4.2450000000000001</v>
      </c>
      <c r="Q504" s="117">
        <f>0.74*E504/30</f>
        <v>1.1099999999999999</v>
      </c>
      <c r="R504" s="17"/>
      <c r="S504" s="17"/>
    </row>
    <row r="505" spans="1:19" ht="15.75" customHeight="1" x14ac:dyDescent="0.25">
      <c r="A505" s="106"/>
      <c r="B505" s="442" t="s">
        <v>72</v>
      </c>
      <c r="C505" s="443"/>
      <c r="D505" s="444"/>
      <c r="E505" s="99">
        <f t="shared" ref="E505:Q505" si="85">SUM(E498:E504)</f>
        <v>820</v>
      </c>
      <c r="F505" s="117">
        <f t="shared" si="85"/>
        <v>52.875</v>
      </c>
      <c r="G505" s="117">
        <f t="shared" si="85"/>
        <v>27.754999999999999</v>
      </c>
      <c r="H505" s="117">
        <f t="shared" si="85"/>
        <v>135.43</v>
      </c>
      <c r="I505" s="117">
        <f t="shared" si="85"/>
        <v>984.87999999999988</v>
      </c>
      <c r="J505" s="117">
        <f t="shared" si="85"/>
        <v>0</v>
      </c>
      <c r="K505" s="117">
        <f t="shared" si="85"/>
        <v>11.26</v>
      </c>
      <c r="L505" s="117">
        <f t="shared" si="85"/>
        <v>0</v>
      </c>
      <c r="M505" s="117">
        <f t="shared" si="85"/>
        <v>0</v>
      </c>
      <c r="N505" s="117">
        <f t="shared" si="85"/>
        <v>156.49</v>
      </c>
      <c r="O505" s="117">
        <f t="shared" si="85"/>
        <v>0</v>
      </c>
      <c r="P505" s="117">
        <f t="shared" si="85"/>
        <v>114.8</v>
      </c>
      <c r="Q505" s="117">
        <f t="shared" si="85"/>
        <v>29.910000000000004</v>
      </c>
      <c r="R505" s="29"/>
      <c r="S505" s="29"/>
    </row>
    <row r="506" spans="1:19" ht="16.5" customHeight="1" x14ac:dyDescent="0.25">
      <c r="A506" s="106"/>
      <c r="B506" s="538" t="s">
        <v>149</v>
      </c>
      <c r="C506" s="446"/>
      <c r="D506" s="447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29"/>
      <c r="S506" s="29"/>
    </row>
    <row r="507" spans="1:19" ht="16.5" customHeight="1" x14ac:dyDescent="0.25">
      <c r="A507" s="106" t="s">
        <v>27</v>
      </c>
      <c r="B507" s="439" t="s">
        <v>130</v>
      </c>
      <c r="C507" s="440"/>
      <c r="D507" s="441"/>
      <c r="E507" s="102">
        <v>23</v>
      </c>
      <c r="F507" s="102">
        <v>1.25</v>
      </c>
      <c r="G507" s="102">
        <v>1.48</v>
      </c>
      <c r="H507" s="102">
        <v>34.89</v>
      </c>
      <c r="I507" s="102">
        <v>160.75</v>
      </c>
      <c r="J507" s="102">
        <v>0</v>
      </c>
      <c r="K507" s="102">
        <v>0.1</v>
      </c>
      <c r="L507" s="102">
        <v>0</v>
      </c>
      <c r="M507" s="102">
        <v>0</v>
      </c>
      <c r="N507" s="102">
        <v>6.8</v>
      </c>
      <c r="O507" s="102">
        <v>0</v>
      </c>
      <c r="P507" s="102">
        <v>4.53</v>
      </c>
      <c r="Q507" s="102">
        <v>0.9</v>
      </c>
      <c r="R507" s="29"/>
      <c r="S507" s="29"/>
    </row>
    <row r="508" spans="1:19" ht="16.5" customHeight="1" x14ac:dyDescent="0.25">
      <c r="A508" s="143">
        <v>386</v>
      </c>
      <c r="B508" s="541" t="s">
        <v>120</v>
      </c>
      <c r="C508" s="440"/>
      <c r="D508" s="441"/>
      <c r="E508" s="143">
        <v>200</v>
      </c>
      <c r="F508" s="143">
        <v>5.6</v>
      </c>
      <c r="G508" s="143">
        <v>5</v>
      </c>
      <c r="H508" s="143">
        <v>8.1999999999999993</v>
      </c>
      <c r="I508" s="143">
        <v>100.2</v>
      </c>
      <c r="J508" s="143">
        <v>0</v>
      </c>
      <c r="K508" s="143">
        <v>1.4</v>
      </c>
      <c r="L508" s="143">
        <v>0</v>
      </c>
      <c r="M508" s="143">
        <v>0</v>
      </c>
      <c r="N508" s="143">
        <v>240</v>
      </c>
      <c r="O508" s="143">
        <v>0</v>
      </c>
      <c r="P508" s="143">
        <v>28</v>
      </c>
      <c r="Q508" s="143">
        <v>0.2</v>
      </c>
      <c r="R508" s="73"/>
      <c r="S508" s="73"/>
    </row>
    <row r="509" spans="1:19" ht="15.75" customHeight="1" x14ac:dyDescent="0.25">
      <c r="A509" s="106"/>
      <c r="B509" s="442" t="s">
        <v>169</v>
      </c>
      <c r="C509" s="472"/>
      <c r="D509" s="473"/>
      <c r="E509" s="26">
        <f>SUM(E507:E508)</f>
        <v>223</v>
      </c>
      <c r="F509" s="26">
        <f t="shared" ref="F509:N509" si="86">F507+F508</f>
        <v>6.85</v>
      </c>
      <c r="G509" s="26">
        <f t="shared" si="86"/>
        <v>6.48</v>
      </c>
      <c r="H509" s="26">
        <f t="shared" si="86"/>
        <v>43.09</v>
      </c>
      <c r="I509" s="26">
        <f t="shared" si="86"/>
        <v>260.95</v>
      </c>
      <c r="J509" s="26">
        <f t="shared" si="86"/>
        <v>0</v>
      </c>
      <c r="K509" s="26">
        <f t="shared" si="86"/>
        <v>1.5</v>
      </c>
      <c r="L509" s="26">
        <f t="shared" si="86"/>
        <v>0</v>
      </c>
      <c r="M509" s="26">
        <f t="shared" si="86"/>
        <v>0</v>
      </c>
      <c r="N509" s="26">
        <f t="shared" si="86"/>
        <v>246.8</v>
      </c>
      <c r="O509" s="26">
        <f>SUM(O507:O508)</f>
        <v>0</v>
      </c>
      <c r="P509" s="26">
        <f>SUM(P507:P508)</f>
        <v>32.53</v>
      </c>
      <c r="Q509" s="26">
        <f>SUM(Q507:Q508)</f>
        <v>1.1000000000000001</v>
      </c>
      <c r="R509" s="17"/>
      <c r="S509" s="17"/>
    </row>
    <row r="510" spans="1:19" s="85" customFormat="1" ht="15.75" customHeight="1" x14ac:dyDescent="0.25">
      <c r="A510" s="109"/>
      <c r="B510" s="436" t="s">
        <v>53</v>
      </c>
      <c r="C510" s="437"/>
      <c r="D510" s="438"/>
      <c r="E510" s="91">
        <v>8</v>
      </c>
      <c r="F510" s="144"/>
      <c r="G510" s="144"/>
      <c r="H510" s="144"/>
      <c r="I510" s="144"/>
      <c r="J510" s="144"/>
      <c r="K510" s="144"/>
      <c r="L510" s="144"/>
      <c r="M510" s="144"/>
      <c r="N510" s="144">
        <v>29.44</v>
      </c>
      <c r="O510" s="144"/>
      <c r="P510" s="144">
        <v>1.76</v>
      </c>
      <c r="Q510" s="144">
        <v>0.23</v>
      </c>
      <c r="R510" s="221"/>
      <c r="S510" s="221"/>
    </row>
    <row r="511" spans="1:19" ht="15.75" customHeight="1" x14ac:dyDescent="0.25">
      <c r="A511" s="106"/>
      <c r="B511" s="442" t="s">
        <v>189</v>
      </c>
      <c r="C511" s="472"/>
      <c r="D511" s="473"/>
      <c r="E511" s="27">
        <f>SUM(E479,E482,E492,E496,E505,E509)</f>
        <v>3286.875</v>
      </c>
      <c r="F511" s="22">
        <f>SUM(F479,F482,F492,F496,F505, F509)</f>
        <v>147.2170909090909</v>
      </c>
      <c r="G511" s="22">
        <f t="shared" ref="G511:M511" si="87">SUM(G479,G482,G492,G496,G505,G509)</f>
        <v>120.75275000000001</v>
      </c>
      <c r="H511" s="22">
        <f t="shared" si="87"/>
        <v>490.15025000000003</v>
      </c>
      <c r="I511" s="22">
        <f t="shared" si="87"/>
        <v>3671.1494772727274</v>
      </c>
      <c r="J511" s="22">
        <f t="shared" si="87"/>
        <v>0.22459999999999999</v>
      </c>
      <c r="K511" s="22">
        <f t="shared" si="87"/>
        <v>136.95431818181819</v>
      </c>
      <c r="L511" s="22">
        <f t="shared" si="87"/>
        <v>0.15100000000000002</v>
      </c>
      <c r="M511" s="22">
        <f t="shared" si="87"/>
        <v>1.4300000000000002</v>
      </c>
      <c r="N511" s="22">
        <f>SUM(N479,N482,N492,N496,N505,N509,N510)</f>
        <v>1355.0298181818182</v>
      </c>
      <c r="O511" s="22">
        <f>SUM(O479,O482,O492,O496,O505,O509)</f>
        <v>301.53999999999996</v>
      </c>
      <c r="P511" s="22">
        <f>SUM(P479,P482,P492,P496,P505,P509)</f>
        <v>456.26072727272731</v>
      </c>
      <c r="Q511" s="22">
        <f>SUM(Q479,Q482,Q492,Q496,Q505,Q509)</f>
        <v>55.81036363636364</v>
      </c>
      <c r="R511" s="29"/>
      <c r="S511" s="29"/>
    </row>
    <row r="512" spans="1:19" ht="15.75" customHeight="1" x14ac:dyDescent="0.25">
      <c r="A512" s="4"/>
      <c r="B512" s="43"/>
      <c r="C512" s="43"/>
      <c r="D512" s="43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1"/>
      <c r="S512" s="1"/>
    </row>
    <row r="513" spans="1:19" ht="40.5" customHeight="1" x14ac:dyDescent="0.25">
      <c r="A513" s="523" t="s">
        <v>190</v>
      </c>
      <c r="B513" s="524"/>
      <c r="C513" s="524"/>
      <c r="D513" s="524"/>
      <c r="E513" s="524"/>
      <c r="F513" s="524"/>
      <c r="G513" s="524"/>
      <c r="H513" s="524"/>
      <c r="I513" s="524"/>
      <c r="J513" s="524"/>
      <c r="K513" s="524"/>
      <c r="L513" s="524"/>
      <c r="M513" s="524"/>
      <c r="N513" s="524"/>
      <c r="O513" s="524"/>
      <c r="P513" s="524"/>
      <c r="Q513" s="524"/>
      <c r="R513" s="525"/>
      <c r="S513" s="1"/>
    </row>
    <row r="514" spans="1:19" ht="31.5" customHeight="1" x14ac:dyDescent="0.25">
      <c r="A514" s="526" t="s">
        <v>3</v>
      </c>
      <c r="B514" s="528" t="s">
        <v>4</v>
      </c>
      <c r="C514" s="476"/>
      <c r="D514" s="477"/>
      <c r="E514" s="68" t="s">
        <v>5</v>
      </c>
      <c r="F514" s="530" t="s">
        <v>6</v>
      </c>
      <c r="G514" s="440"/>
      <c r="H514" s="441"/>
      <c r="I514" s="529" t="s">
        <v>7</v>
      </c>
      <c r="J514" s="530" t="s">
        <v>8</v>
      </c>
      <c r="K514" s="440"/>
      <c r="L514" s="440"/>
      <c r="M514" s="441"/>
      <c r="N514" s="530" t="s">
        <v>9</v>
      </c>
      <c r="O514" s="440"/>
      <c r="P514" s="440"/>
      <c r="Q514" s="441"/>
      <c r="R514" s="1"/>
      <c r="S514" s="1"/>
    </row>
    <row r="515" spans="1:19" ht="15.75" customHeight="1" x14ac:dyDescent="0.25">
      <c r="A515" s="527"/>
      <c r="B515" s="478"/>
      <c r="C515" s="479"/>
      <c r="D515" s="480"/>
      <c r="E515" s="69"/>
      <c r="F515" s="33" t="s">
        <v>10</v>
      </c>
      <c r="G515" s="33" t="s">
        <v>11</v>
      </c>
      <c r="H515" s="33" t="s">
        <v>12</v>
      </c>
      <c r="I515" s="527"/>
      <c r="J515" s="34" t="s">
        <v>13</v>
      </c>
      <c r="K515" s="34" t="s">
        <v>14</v>
      </c>
      <c r="L515" s="34" t="s">
        <v>15</v>
      </c>
      <c r="M515" s="35" t="s">
        <v>16</v>
      </c>
      <c r="N515" s="36" t="s">
        <v>17</v>
      </c>
      <c r="O515" s="34" t="s">
        <v>18</v>
      </c>
      <c r="P515" s="34" t="s">
        <v>19</v>
      </c>
      <c r="Q515" s="35" t="s">
        <v>20</v>
      </c>
      <c r="R515" s="1"/>
      <c r="S515" s="1"/>
    </row>
    <row r="516" spans="1:19" ht="15.75" customHeight="1" x14ac:dyDescent="0.25">
      <c r="A516" s="9">
        <v>1</v>
      </c>
      <c r="B516" s="532">
        <v>2</v>
      </c>
      <c r="C516" s="440"/>
      <c r="D516" s="441"/>
      <c r="E516" s="57">
        <v>3</v>
      </c>
      <c r="F516" s="57">
        <v>4</v>
      </c>
      <c r="G516" s="57">
        <v>5</v>
      </c>
      <c r="H516" s="57">
        <v>6</v>
      </c>
      <c r="I516" s="58">
        <v>7</v>
      </c>
      <c r="J516" s="57">
        <v>8</v>
      </c>
      <c r="K516" s="57">
        <v>9</v>
      </c>
      <c r="L516" s="57">
        <v>10</v>
      </c>
      <c r="M516" s="59">
        <v>11</v>
      </c>
      <c r="N516" s="57">
        <v>12</v>
      </c>
      <c r="O516" s="57">
        <v>13</v>
      </c>
      <c r="P516" s="57">
        <v>14</v>
      </c>
      <c r="Q516" s="60">
        <v>15</v>
      </c>
      <c r="R516" s="1"/>
      <c r="S516" s="1"/>
    </row>
    <row r="517" spans="1:19" ht="15.75" customHeight="1" x14ac:dyDescent="0.25">
      <c r="A517" s="201"/>
      <c r="B517" s="522" t="s">
        <v>21</v>
      </c>
      <c r="C517" s="446"/>
      <c r="D517" s="447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"/>
      <c r="S517" s="1"/>
    </row>
    <row r="518" spans="1:19" ht="15.75" customHeight="1" x14ac:dyDescent="0.25">
      <c r="A518" s="106">
        <v>2</v>
      </c>
      <c r="B518" s="439" t="s">
        <v>108</v>
      </c>
      <c r="C518" s="440"/>
      <c r="D518" s="441"/>
      <c r="E518" s="147" t="s">
        <v>109</v>
      </c>
      <c r="F518" s="117">
        <v>8.3333333333333329E-2</v>
      </c>
      <c r="G518" s="117">
        <v>7.1499999999999995</v>
      </c>
      <c r="H518" s="117">
        <v>0.11666666666666668</v>
      </c>
      <c r="I518" s="117">
        <v>64.7</v>
      </c>
      <c r="J518" s="117">
        <v>0</v>
      </c>
      <c r="K518" s="117">
        <v>0</v>
      </c>
      <c r="L518" s="117">
        <v>0</v>
      </c>
      <c r="M518" s="117">
        <v>0</v>
      </c>
      <c r="N518" s="117">
        <v>2.4</v>
      </c>
      <c r="O518" s="117">
        <v>0</v>
      </c>
      <c r="P518" s="117">
        <v>0</v>
      </c>
      <c r="Q518" s="117">
        <v>0</v>
      </c>
      <c r="R518" s="29"/>
      <c r="S518" s="29"/>
    </row>
    <row r="519" spans="1:19" ht="15.75" customHeight="1" x14ac:dyDescent="0.25">
      <c r="A519" s="470">
        <v>172</v>
      </c>
      <c r="B519" s="542" t="s">
        <v>136</v>
      </c>
      <c r="C519" s="476"/>
      <c r="D519" s="477"/>
      <c r="E519" s="106">
        <v>250</v>
      </c>
      <c r="F519" s="470">
        <f>6.74*(E519+E520)/(250+10)</f>
        <v>6.74</v>
      </c>
      <c r="G519" s="470">
        <f>7.98*(E519+E520)/(250+10)</f>
        <v>7.98</v>
      </c>
      <c r="H519" s="470">
        <f>33.91*(E519+E520)/(250+10)</f>
        <v>33.909999999999997</v>
      </c>
      <c r="I519" s="470">
        <f>233.75*(E519+E520)/(250+10)</f>
        <v>233.75</v>
      </c>
      <c r="J519" s="470">
        <v>0</v>
      </c>
      <c r="K519" s="470">
        <v>0</v>
      </c>
      <c r="L519" s="470">
        <v>0</v>
      </c>
      <c r="M519" s="470">
        <v>0</v>
      </c>
      <c r="N519" s="470">
        <f>130.63*(E519+E520)/(250+10)</f>
        <v>130.63</v>
      </c>
      <c r="O519" s="470">
        <v>0</v>
      </c>
      <c r="P519" s="470">
        <f>70.25*(E519+E520)/(250+10)</f>
        <v>70.25</v>
      </c>
      <c r="Q519" s="470">
        <f>1.93*(E519+E520)/(250+10)</f>
        <v>1.93</v>
      </c>
      <c r="R519" s="17"/>
      <c r="S519" s="17"/>
    </row>
    <row r="520" spans="1:19" ht="13.5" customHeight="1" x14ac:dyDescent="0.25">
      <c r="A520" s="471"/>
      <c r="B520" s="478"/>
      <c r="C520" s="479"/>
      <c r="D520" s="480"/>
      <c r="E520" s="106">
        <f>E519*4/100</f>
        <v>10</v>
      </c>
      <c r="F520" s="471"/>
      <c r="G520" s="471"/>
      <c r="H520" s="471"/>
      <c r="I520" s="471"/>
      <c r="J520" s="471"/>
      <c r="K520" s="471"/>
      <c r="L520" s="471"/>
      <c r="M520" s="471"/>
      <c r="N520" s="471"/>
      <c r="O520" s="471"/>
      <c r="P520" s="471"/>
      <c r="Q520" s="471"/>
      <c r="R520" s="17"/>
      <c r="S520" s="17"/>
    </row>
    <row r="521" spans="1:19" ht="15.75" customHeight="1" x14ac:dyDescent="0.25">
      <c r="A521" s="106">
        <v>209</v>
      </c>
      <c r="B521" s="543" t="s">
        <v>191</v>
      </c>
      <c r="C521" s="440"/>
      <c r="D521" s="441"/>
      <c r="E521" s="106">
        <v>40</v>
      </c>
      <c r="F521" s="148">
        <v>5.0999999999999996</v>
      </c>
      <c r="G521" s="106">
        <v>4.5999999999999996</v>
      </c>
      <c r="H521" s="106">
        <v>0.3</v>
      </c>
      <c r="I521" s="106">
        <v>63</v>
      </c>
      <c r="J521" s="106"/>
      <c r="K521" s="106"/>
      <c r="L521" s="106"/>
      <c r="M521" s="106"/>
      <c r="N521" s="106">
        <v>22</v>
      </c>
      <c r="O521" s="106"/>
      <c r="P521" s="106">
        <v>4.8</v>
      </c>
      <c r="Q521" s="106">
        <v>1</v>
      </c>
      <c r="R521" s="29"/>
      <c r="S521" s="29"/>
    </row>
    <row r="522" spans="1:19" ht="15.75" customHeight="1" x14ac:dyDescent="0.25">
      <c r="A522" s="106">
        <v>379</v>
      </c>
      <c r="B522" s="439" t="s">
        <v>26</v>
      </c>
      <c r="C522" s="440"/>
      <c r="D522" s="441"/>
      <c r="E522" s="115">
        <v>200</v>
      </c>
      <c r="F522" s="115">
        <v>3.58</v>
      </c>
      <c r="G522" s="115">
        <v>2.68</v>
      </c>
      <c r="H522" s="115">
        <v>28.34</v>
      </c>
      <c r="I522" s="115">
        <v>151.80000000000001</v>
      </c>
      <c r="J522" s="115">
        <v>0.02</v>
      </c>
      <c r="K522" s="115">
        <v>0.04</v>
      </c>
      <c r="L522" s="115">
        <v>0.1</v>
      </c>
      <c r="M522" s="115">
        <v>1.3</v>
      </c>
      <c r="N522" s="115">
        <v>125.78</v>
      </c>
      <c r="O522" s="115">
        <v>0</v>
      </c>
      <c r="P522" s="115">
        <v>14</v>
      </c>
      <c r="Q522" s="115">
        <v>0.13</v>
      </c>
      <c r="R522" s="29"/>
      <c r="S522" s="29"/>
    </row>
    <row r="523" spans="1:19" ht="15.75" customHeight="1" x14ac:dyDescent="0.25">
      <c r="A523" s="106" t="s">
        <v>27</v>
      </c>
      <c r="B523" s="439" t="s">
        <v>28</v>
      </c>
      <c r="C523" s="440"/>
      <c r="D523" s="441"/>
      <c r="E523" s="99">
        <v>45</v>
      </c>
      <c r="F523" s="117">
        <f>2.26*E523/30</f>
        <v>3.3899999999999997</v>
      </c>
      <c r="G523" s="117">
        <f>0.23*E523/30</f>
        <v>0.34499999999999997</v>
      </c>
      <c r="H523" s="117">
        <f>14.66*E523/30</f>
        <v>21.990000000000002</v>
      </c>
      <c r="I523" s="117">
        <f>68.86*E523/30</f>
        <v>103.28999999999999</v>
      </c>
      <c r="J523" s="117">
        <v>0</v>
      </c>
      <c r="K523" s="117">
        <v>0</v>
      </c>
      <c r="L523" s="117">
        <v>0</v>
      </c>
      <c r="M523" s="117">
        <v>0</v>
      </c>
      <c r="N523" s="117">
        <f>12.97*E523/30</f>
        <v>19.454999999999998</v>
      </c>
      <c r="O523" s="117">
        <v>0</v>
      </c>
      <c r="P523" s="117">
        <f>2.83*E523/30</f>
        <v>4.2450000000000001</v>
      </c>
      <c r="Q523" s="117">
        <f>0.74*E523/30</f>
        <v>1.1099999999999999</v>
      </c>
      <c r="R523" s="17"/>
      <c r="S523" s="17"/>
    </row>
    <row r="524" spans="1:19" ht="15.75" customHeight="1" x14ac:dyDescent="0.25">
      <c r="A524" s="106"/>
      <c r="B524" s="442" t="s">
        <v>29</v>
      </c>
      <c r="C524" s="472"/>
      <c r="D524" s="473"/>
      <c r="E524" s="99">
        <f>SUM(E518:E523)+200+15+7</f>
        <v>767</v>
      </c>
      <c r="F524" s="117">
        <f t="shared" ref="F524:Q524" si="88">SUM(F518:F523)</f>
        <v>18.893333333333331</v>
      </c>
      <c r="G524" s="117">
        <f t="shared" si="88"/>
        <v>22.754999999999995</v>
      </c>
      <c r="H524" s="117">
        <f t="shared" si="88"/>
        <v>84.656666666666666</v>
      </c>
      <c r="I524" s="117">
        <f t="shared" si="88"/>
        <v>616.54</v>
      </c>
      <c r="J524" s="132">
        <f t="shared" si="88"/>
        <v>0.02</v>
      </c>
      <c r="K524" s="132">
        <f t="shared" si="88"/>
        <v>0.04</v>
      </c>
      <c r="L524" s="117">
        <f t="shared" si="88"/>
        <v>0.1</v>
      </c>
      <c r="M524" s="117">
        <f t="shared" si="88"/>
        <v>1.3</v>
      </c>
      <c r="N524" s="117">
        <f t="shared" si="88"/>
        <v>300.26499999999999</v>
      </c>
      <c r="O524" s="117">
        <f t="shared" si="88"/>
        <v>0</v>
      </c>
      <c r="P524" s="117">
        <f t="shared" si="88"/>
        <v>93.295000000000002</v>
      </c>
      <c r="Q524" s="117">
        <f t="shared" si="88"/>
        <v>4.17</v>
      </c>
      <c r="R524" s="29"/>
      <c r="S524" s="29"/>
    </row>
    <row r="525" spans="1:19" ht="15.75" customHeight="1" x14ac:dyDescent="0.25">
      <c r="A525" s="201"/>
      <c r="B525" s="522" t="s">
        <v>30</v>
      </c>
      <c r="C525" s="446"/>
      <c r="D525" s="447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"/>
      <c r="S525" s="1"/>
    </row>
    <row r="526" spans="1:19" ht="15.75" customHeight="1" x14ac:dyDescent="0.25">
      <c r="A526" s="106">
        <v>338</v>
      </c>
      <c r="B526" s="439" t="s">
        <v>31</v>
      </c>
      <c r="C526" s="440"/>
      <c r="D526" s="441"/>
      <c r="E526" s="133">
        <v>300</v>
      </c>
      <c r="F526" s="133">
        <v>4.5</v>
      </c>
      <c r="G526" s="134">
        <v>1.5</v>
      </c>
      <c r="H526" s="133">
        <v>27</v>
      </c>
      <c r="I526" s="133">
        <v>285</v>
      </c>
      <c r="J526" s="133">
        <v>0</v>
      </c>
      <c r="K526" s="133">
        <v>30</v>
      </c>
      <c r="L526" s="133">
        <v>0</v>
      </c>
      <c r="M526" s="133">
        <v>0</v>
      </c>
      <c r="N526" s="133">
        <v>24</v>
      </c>
      <c r="O526" s="133">
        <v>0</v>
      </c>
      <c r="P526" s="133">
        <v>126</v>
      </c>
      <c r="Q526" s="133">
        <v>2.1</v>
      </c>
      <c r="R526" s="1"/>
      <c r="S526" s="1"/>
    </row>
    <row r="527" spans="1:19" ht="18.75" customHeight="1" x14ac:dyDescent="0.25">
      <c r="A527" s="106"/>
      <c r="B527" s="442" t="s">
        <v>112</v>
      </c>
      <c r="C527" s="472"/>
      <c r="D527" s="473"/>
      <c r="E527" s="106">
        <f>E526</f>
        <v>300</v>
      </c>
      <c r="F527" s="106">
        <f t="shared" ref="F527:Q527" si="89">SUM(F526)</f>
        <v>4.5</v>
      </c>
      <c r="G527" s="132">
        <f t="shared" si="89"/>
        <v>1.5</v>
      </c>
      <c r="H527" s="106">
        <f t="shared" si="89"/>
        <v>27</v>
      </c>
      <c r="I527" s="106">
        <f t="shared" si="89"/>
        <v>285</v>
      </c>
      <c r="J527" s="106">
        <f t="shared" si="89"/>
        <v>0</v>
      </c>
      <c r="K527" s="106">
        <f t="shared" si="89"/>
        <v>30</v>
      </c>
      <c r="L527" s="106">
        <f t="shared" si="89"/>
        <v>0</v>
      </c>
      <c r="M527" s="106">
        <f t="shared" si="89"/>
        <v>0</v>
      </c>
      <c r="N527" s="106">
        <f t="shared" si="89"/>
        <v>24</v>
      </c>
      <c r="O527" s="106">
        <f t="shared" si="89"/>
        <v>0</v>
      </c>
      <c r="P527" s="106">
        <f t="shared" si="89"/>
        <v>126</v>
      </c>
      <c r="Q527" s="106">
        <f t="shared" si="89"/>
        <v>2.1</v>
      </c>
      <c r="R527" s="1"/>
      <c r="S527" s="1"/>
    </row>
    <row r="528" spans="1:19" ht="15.75" customHeight="1" x14ac:dyDescent="0.25">
      <c r="A528" s="201"/>
      <c r="B528" s="522" t="s">
        <v>33</v>
      </c>
      <c r="C528" s="446"/>
      <c r="D528" s="447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"/>
      <c r="S528" s="1"/>
    </row>
    <row r="529" spans="1:19" ht="15.75" customHeight="1" x14ac:dyDescent="0.25">
      <c r="A529" s="106">
        <v>71</v>
      </c>
      <c r="B529" s="439" t="s">
        <v>192</v>
      </c>
      <c r="C529" s="440"/>
      <c r="D529" s="441"/>
      <c r="E529" s="99">
        <v>100</v>
      </c>
      <c r="F529" s="117">
        <v>1.1000000000000001</v>
      </c>
      <c r="G529" s="117">
        <v>0.2</v>
      </c>
      <c r="H529" s="117">
        <v>3.8</v>
      </c>
      <c r="I529" s="117">
        <v>22</v>
      </c>
      <c r="J529" s="117">
        <f>0*E529/100</f>
        <v>0</v>
      </c>
      <c r="K529" s="117">
        <v>17.5</v>
      </c>
      <c r="L529" s="117">
        <f>0*E529/100</f>
        <v>0</v>
      </c>
      <c r="M529" s="117">
        <f>0*E529/100</f>
        <v>0</v>
      </c>
      <c r="N529" s="117">
        <v>14</v>
      </c>
      <c r="O529" s="117">
        <f>0*E529/100</f>
        <v>0</v>
      </c>
      <c r="P529" s="117">
        <v>20</v>
      </c>
      <c r="Q529" s="117">
        <v>0.9</v>
      </c>
      <c r="R529" s="29"/>
      <c r="S529" s="29"/>
    </row>
    <row r="530" spans="1:19" ht="33" customHeight="1" x14ac:dyDescent="0.25">
      <c r="A530" s="115">
        <v>88</v>
      </c>
      <c r="B530" s="544" t="s">
        <v>34</v>
      </c>
      <c r="C530" s="440"/>
      <c r="D530" s="441"/>
      <c r="E530" s="94">
        <v>250</v>
      </c>
      <c r="F530" s="149">
        <f>1.76*E530/250</f>
        <v>1.76</v>
      </c>
      <c r="G530" s="149">
        <f>4.95*E530/250</f>
        <v>4.95</v>
      </c>
      <c r="H530" s="149">
        <f>11.5*E530/250</f>
        <v>11.5</v>
      </c>
      <c r="I530" s="149">
        <f>97.59*E530/250</f>
        <v>97.59</v>
      </c>
      <c r="J530" s="149" t="s">
        <v>35</v>
      </c>
      <c r="K530" s="149">
        <f>22*E530/250</f>
        <v>22</v>
      </c>
      <c r="L530" s="149">
        <v>0</v>
      </c>
      <c r="M530" s="149">
        <f>22*E530/250</f>
        <v>22</v>
      </c>
      <c r="N530" s="149">
        <f>50*E530/250</f>
        <v>50</v>
      </c>
      <c r="O530" s="117">
        <v>0</v>
      </c>
      <c r="P530" s="149">
        <f>34.25*E530/250</f>
        <v>34.25</v>
      </c>
      <c r="Q530" s="149">
        <f>0.75*E530/250</f>
        <v>0.75</v>
      </c>
      <c r="R530" s="29"/>
      <c r="S530" s="29"/>
    </row>
    <row r="531" spans="1:19" ht="15.75" customHeight="1" x14ac:dyDescent="0.25">
      <c r="A531" s="533" t="s">
        <v>89</v>
      </c>
      <c r="B531" s="534" t="s">
        <v>193</v>
      </c>
      <c r="C531" s="476"/>
      <c r="D531" s="477"/>
      <c r="E531" s="99">
        <v>120</v>
      </c>
      <c r="F531" s="537">
        <f>14.8*(E531+E532)/(120+50)</f>
        <v>14.800348235294122</v>
      </c>
      <c r="G531" s="537">
        <f>15.77*(E531+E532)/(120+50)</f>
        <v>15.770371058823532</v>
      </c>
      <c r="H531" s="537">
        <f>22.16*(E531+E532)/(120+50)</f>
        <v>22.160521411764709</v>
      </c>
      <c r="I531" s="537">
        <f>289.8*(E531+E532)/(120+50)</f>
        <v>289.80681882352945</v>
      </c>
      <c r="J531" s="537">
        <f>0*(E531+E532)/(120+50)</f>
        <v>0</v>
      </c>
      <c r="K531" s="537">
        <f>1*(E531+E532)/(120+50)</f>
        <v>1.0000235294117648</v>
      </c>
      <c r="L531" s="537">
        <v>0</v>
      </c>
      <c r="M531" s="537">
        <v>0</v>
      </c>
      <c r="N531" s="537">
        <f>11.56*(E531+E532)/(120+50)</f>
        <v>11.560272000000003</v>
      </c>
      <c r="O531" s="537">
        <v>0</v>
      </c>
      <c r="P531" s="537">
        <f>18*(E531+E532)/(120+50)</f>
        <v>18.000423529411766</v>
      </c>
      <c r="Q531" s="537">
        <f>2.95*(E531+E532)/(120+50)</f>
        <v>2.9500694117647064</v>
      </c>
      <c r="R531" s="29"/>
      <c r="S531" s="29"/>
    </row>
    <row r="532" spans="1:19" ht="15.75" customHeight="1" x14ac:dyDescent="0.25">
      <c r="A532" s="471"/>
      <c r="B532" s="478"/>
      <c r="C532" s="479"/>
      <c r="D532" s="480"/>
      <c r="E532" s="99">
        <f>E531*41.67/100</f>
        <v>50.004000000000005</v>
      </c>
      <c r="F532" s="471"/>
      <c r="G532" s="471"/>
      <c r="H532" s="471"/>
      <c r="I532" s="471"/>
      <c r="J532" s="471"/>
      <c r="K532" s="471"/>
      <c r="L532" s="471"/>
      <c r="M532" s="471"/>
      <c r="N532" s="471"/>
      <c r="O532" s="471"/>
      <c r="P532" s="471"/>
      <c r="Q532" s="471"/>
      <c r="R532" s="29"/>
      <c r="S532" s="29"/>
    </row>
    <row r="533" spans="1:19" ht="15.75" customHeight="1" x14ac:dyDescent="0.25">
      <c r="A533" s="106">
        <v>302</v>
      </c>
      <c r="B533" s="439" t="s">
        <v>178</v>
      </c>
      <c r="C533" s="440"/>
      <c r="D533" s="441"/>
      <c r="E533" s="99">
        <v>220</v>
      </c>
      <c r="F533" s="117">
        <v>11.8</v>
      </c>
      <c r="G533" s="117">
        <v>9.1999999999999993</v>
      </c>
      <c r="H533" s="117">
        <v>58.6</v>
      </c>
      <c r="I533" s="117">
        <v>350.2</v>
      </c>
      <c r="J533" s="117">
        <v>0</v>
      </c>
      <c r="K533" s="117">
        <v>0.12</v>
      </c>
      <c r="L533" s="117">
        <f>1.86*E533/200</f>
        <v>2.0460000000000003</v>
      </c>
      <c r="M533" s="117">
        <v>0</v>
      </c>
      <c r="N533" s="117">
        <v>29.8</v>
      </c>
      <c r="O533" s="117">
        <v>0</v>
      </c>
      <c r="P533" s="117">
        <v>38.799999999999997</v>
      </c>
      <c r="Q533" s="117">
        <f>3.23*E533/200</f>
        <v>3.5529999999999999</v>
      </c>
      <c r="R533" s="17"/>
      <c r="S533" s="17"/>
    </row>
    <row r="534" spans="1:19" ht="15.75" customHeight="1" x14ac:dyDescent="0.25">
      <c r="A534" s="106">
        <v>342</v>
      </c>
      <c r="B534" s="439" t="s">
        <v>38</v>
      </c>
      <c r="C534" s="440"/>
      <c r="D534" s="441"/>
      <c r="E534" s="99">
        <v>200</v>
      </c>
      <c r="F534" s="117">
        <v>0.08</v>
      </c>
      <c r="G534" s="117">
        <v>0</v>
      </c>
      <c r="H534" s="117">
        <v>21.82</v>
      </c>
      <c r="I534" s="117">
        <v>87.6</v>
      </c>
      <c r="J534" s="117">
        <v>0</v>
      </c>
      <c r="K534" s="117">
        <v>2.25</v>
      </c>
      <c r="L534" s="117">
        <v>0</v>
      </c>
      <c r="M534" s="117">
        <v>0</v>
      </c>
      <c r="N534" s="117">
        <v>17</v>
      </c>
      <c r="O534" s="117">
        <v>0</v>
      </c>
      <c r="P534" s="117">
        <v>9</v>
      </c>
      <c r="Q534" s="117">
        <v>2.2000000000000002</v>
      </c>
      <c r="R534" s="29"/>
      <c r="S534" s="29"/>
    </row>
    <row r="535" spans="1:19" ht="15.75" customHeight="1" x14ac:dyDescent="0.25">
      <c r="A535" s="106" t="s">
        <v>27</v>
      </c>
      <c r="B535" s="41" t="s">
        <v>39</v>
      </c>
      <c r="C535" s="41"/>
      <c r="D535" s="41"/>
      <c r="E535" s="99">
        <v>120</v>
      </c>
      <c r="F535" s="117">
        <f>4.03*E535/50</f>
        <v>9.6720000000000006</v>
      </c>
      <c r="G535" s="117">
        <f>0.5*E535/50</f>
        <v>1.2</v>
      </c>
      <c r="H535" s="117">
        <f>22.36*E535/50</f>
        <v>53.663999999999994</v>
      </c>
      <c r="I535" s="117">
        <f>98.86*E535/50</f>
        <v>237.26400000000001</v>
      </c>
      <c r="J535" s="117">
        <v>0</v>
      </c>
      <c r="K535" s="117">
        <v>0</v>
      </c>
      <c r="L535" s="117">
        <v>0</v>
      </c>
      <c r="M535" s="117">
        <v>0</v>
      </c>
      <c r="N535" s="117">
        <f>17.59*E535/50</f>
        <v>42.216000000000001</v>
      </c>
      <c r="O535" s="117">
        <v>0</v>
      </c>
      <c r="P535" s="117">
        <f>1.89*E535/50</f>
        <v>4.5359999999999996</v>
      </c>
      <c r="Q535" s="117">
        <f>0.88*E535/50</f>
        <v>2.1120000000000001</v>
      </c>
      <c r="R535" s="17"/>
      <c r="S535" s="17"/>
    </row>
    <row r="536" spans="1:19" ht="15.75" customHeight="1" x14ac:dyDescent="0.25">
      <c r="A536" s="106" t="s">
        <v>27</v>
      </c>
      <c r="B536" s="439" t="s">
        <v>28</v>
      </c>
      <c r="C536" s="440"/>
      <c r="D536" s="441"/>
      <c r="E536" s="99">
        <v>45</v>
      </c>
      <c r="F536" s="117">
        <f>2.26*E536/30</f>
        <v>3.3899999999999997</v>
      </c>
      <c r="G536" s="117">
        <f>0.23*E536/30</f>
        <v>0.34499999999999997</v>
      </c>
      <c r="H536" s="117">
        <f>14.66*E536/30</f>
        <v>21.990000000000002</v>
      </c>
      <c r="I536" s="117">
        <f>68.86*E536/30</f>
        <v>103.28999999999999</v>
      </c>
      <c r="J536" s="117">
        <v>0</v>
      </c>
      <c r="K536" s="117">
        <v>0</v>
      </c>
      <c r="L536" s="117">
        <v>0</v>
      </c>
      <c r="M536" s="117">
        <v>0</v>
      </c>
      <c r="N536" s="117">
        <f>12.97*E536/30</f>
        <v>19.454999999999998</v>
      </c>
      <c r="O536" s="117">
        <v>0</v>
      </c>
      <c r="P536" s="117">
        <f>2.83*E536/30</f>
        <v>4.2450000000000001</v>
      </c>
      <c r="Q536" s="117">
        <f>0.74*E536/30</f>
        <v>1.1099999999999999</v>
      </c>
      <c r="R536" s="17"/>
      <c r="S536" s="17"/>
    </row>
    <row r="537" spans="1:19" ht="15.75" customHeight="1" x14ac:dyDescent="0.25">
      <c r="A537" s="106"/>
      <c r="B537" s="442" t="s">
        <v>65</v>
      </c>
      <c r="C537" s="443"/>
      <c r="D537" s="444"/>
      <c r="E537" s="99">
        <f t="shared" ref="E537:Q537" si="90">SUM(E529:E536)</f>
        <v>1105.0039999999999</v>
      </c>
      <c r="F537" s="117">
        <f t="shared" si="90"/>
        <v>42.602348235294123</v>
      </c>
      <c r="G537" s="117">
        <f t="shared" si="90"/>
        <v>31.665371058823531</v>
      </c>
      <c r="H537" s="117">
        <f t="shared" si="90"/>
        <v>193.5345214117647</v>
      </c>
      <c r="I537" s="117">
        <f t="shared" si="90"/>
        <v>1187.7508188235295</v>
      </c>
      <c r="J537" s="117">
        <f t="shared" si="90"/>
        <v>0</v>
      </c>
      <c r="K537" s="117">
        <f t="shared" si="90"/>
        <v>42.87002352941176</v>
      </c>
      <c r="L537" s="117">
        <f t="shared" si="90"/>
        <v>2.0460000000000003</v>
      </c>
      <c r="M537" s="117">
        <f t="shared" si="90"/>
        <v>22</v>
      </c>
      <c r="N537" s="117">
        <f t="shared" si="90"/>
        <v>184.031272</v>
      </c>
      <c r="O537" s="117">
        <f t="shared" si="90"/>
        <v>0</v>
      </c>
      <c r="P537" s="117">
        <f t="shared" si="90"/>
        <v>128.83142352941175</v>
      </c>
      <c r="Q537" s="117">
        <f t="shared" si="90"/>
        <v>13.575069411764707</v>
      </c>
      <c r="R537" s="29"/>
      <c r="S537" s="29"/>
    </row>
    <row r="538" spans="1:19" ht="15.75" customHeight="1" x14ac:dyDescent="0.25">
      <c r="A538" s="201"/>
      <c r="B538" s="445" t="s">
        <v>41</v>
      </c>
      <c r="C538" s="446"/>
      <c r="D538" s="447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"/>
      <c r="S538" s="1"/>
    </row>
    <row r="539" spans="1:19" ht="15.75" customHeight="1" x14ac:dyDescent="0.25">
      <c r="A539" s="470">
        <v>222</v>
      </c>
      <c r="B539" s="539" t="s">
        <v>194</v>
      </c>
      <c r="C539" s="476"/>
      <c r="D539" s="477"/>
      <c r="E539" s="102">
        <v>250</v>
      </c>
      <c r="F539" s="546">
        <f>27.85*(E539+E540)/(250+50)</f>
        <v>27.85</v>
      </c>
      <c r="G539" s="546">
        <f>29.9*(E539+E540)/(250+50)</f>
        <v>29.9</v>
      </c>
      <c r="H539" s="546">
        <f>50.85*(E539+E540)/(250+50)</f>
        <v>50.85</v>
      </c>
      <c r="I539" s="546">
        <f>583.9*(E539+E540)/(250+50)</f>
        <v>583.9</v>
      </c>
      <c r="J539" s="546">
        <v>0</v>
      </c>
      <c r="K539" s="546">
        <f>0.5*(E539+E540)/(250+50)</f>
        <v>0.5</v>
      </c>
      <c r="L539" s="546">
        <v>0</v>
      </c>
      <c r="M539" s="546">
        <v>0</v>
      </c>
      <c r="N539" s="546">
        <f>325*(E539+E540)/(250+50)</f>
        <v>325</v>
      </c>
      <c r="O539" s="546">
        <v>0</v>
      </c>
      <c r="P539" s="546">
        <f>57*(E539+E540)/(250+50)</f>
        <v>57</v>
      </c>
      <c r="Q539" s="546">
        <f>2.4*(E539+E540)/(250+50)</f>
        <v>2.4</v>
      </c>
      <c r="R539" s="17"/>
      <c r="S539" s="17"/>
    </row>
    <row r="540" spans="1:19" ht="15.75" customHeight="1" x14ac:dyDescent="0.25">
      <c r="A540" s="471"/>
      <c r="B540" s="478"/>
      <c r="C540" s="479"/>
      <c r="D540" s="480"/>
      <c r="E540" s="150">
        <f>E539*20/100</f>
        <v>50</v>
      </c>
      <c r="F540" s="471"/>
      <c r="G540" s="471"/>
      <c r="H540" s="471"/>
      <c r="I540" s="471"/>
      <c r="J540" s="471"/>
      <c r="K540" s="471"/>
      <c r="L540" s="471"/>
      <c r="M540" s="471"/>
      <c r="N540" s="471"/>
      <c r="O540" s="471"/>
      <c r="P540" s="471"/>
      <c r="Q540" s="471"/>
      <c r="R540" s="17"/>
      <c r="S540" s="17"/>
    </row>
    <row r="541" spans="1:19" ht="15.75" customHeight="1" x14ac:dyDescent="0.25">
      <c r="A541" s="106">
        <v>382</v>
      </c>
      <c r="B541" s="439" t="s">
        <v>58</v>
      </c>
      <c r="C541" s="440"/>
      <c r="D541" s="441"/>
      <c r="E541" s="130">
        <v>200</v>
      </c>
      <c r="F541" s="131">
        <v>3.76</v>
      </c>
      <c r="G541" s="131">
        <v>3.2</v>
      </c>
      <c r="H541" s="131">
        <v>17.57</v>
      </c>
      <c r="I541" s="131">
        <v>114.12</v>
      </c>
      <c r="J541" s="131">
        <v>0</v>
      </c>
      <c r="K541" s="131">
        <v>1.58</v>
      </c>
      <c r="L541" s="131">
        <v>0</v>
      </c>
      <c r="M541" s="131">
        <v>0</v>
      </c>
      <c r="N541" s="131">
        <v>152.22</v>
      </c>
      <c r="O541" s="131">
        <v>0</v>
      </c>
      <c r="P541" s="131">
        <v>21.34</v>
      </c>
      <c r="Q541" s="131">
        <v>0.47</v>
      </c>
      <c r="R541" s="29"/>
      <c r="S541" s="29"/>
    </row>
    <row r="542" spans="1:19" ht="15.75" customHeight="1" x14ac:dyDescent="0.25">
      <c r="A542" s="106"/>
      <c r="B542" s="442" t="s">
        <v>86</v>
      </c>
      <c r="C542" s="472"/>
      <c r="D542" s="473"/>
      <c r="E542" s="106">
        <f t="shared" ref="E542:Q542" si="91">SUM(E539:E541)</f>
        <v>500</v>
      </c>
      <c r="F542" s="132">
        <f t="shared" si="91"/>
        <v>31.61</v>
      </c>
      <c r="G542" s="106">
        <f t="shared" si="91"/>
        <v>33.1</v>
      </c>
      <c r="H542" s="106">
        <f t="shared" si="91"/>
        <v>68.42</v>
      </c>
      <c r="I542" s="106">
        <f t="shared" si="91"/>
        <v>698.02</v>
      </c>
      <c r="J542" s="106">
        <f t="shared" si="91"/>
        <v>0</v>
      </c>
      <c r="K542" s="106">
        <f t="shared" si="91"/>
        <v>2.08</v>
      </c>
      <c r="L542" s="106">
        <f t="shared" si="91"/>
        <v>0</v>
      </c>
      <c r="M542" s="106">
        <f t="shared" si="91"/>
        <v>0</v>
      </c>
      <c r="N542" s="106">
        <f t="shared" si="91"/>
        <v>477.22</v>
      </c>
      <c r="O542" s="106">
        <f t="shared" si="91"/>
        <v>0</v>
      </c>
      <c r="P542" s="106">
        <f t="shared" si="91"/>
        <v>78.34</v>
      </c>
      <c r="Q542" s="106">
        <f t="shared" si="91"/>
        <v>2.87</v>
      </c>
      <c r="R542" s="29"/>
      <c r="S542" s="29"/>
    </row>
    <row r="543" spans="1:19" ht="15.75" customHeight="1" x14ac:dyDescent="0.25">
      <c r="A543" s="201"/>
      <c r="B543" s="474" t="s">
        <v>44</v>
      </c>
      <c r="C543" s="446"/>
      <c r="D543" s="447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"/>
      <c r="S543" s="1"/>
    </row>
    <row r="544" spans="1:19" ht="15.75" customHeight="1" x14ac:dyDescent="0.25">
      <c r="A544" s="106">
        <v>71</v>
      </c>
      <c r="B544" s="439" t="s">
        <v>183</v>
      </c>
      <c r="C544" s="440"/>
      <c r="D544" s="441"/>
      <c r="E544" s="100">
        <v>110</v>
      </c>
      <c r="F544" s="117">
        <f>1.2*E544/100</f>
        <v>1.32</v>
      </c>
      <c r="G544" s="117">
        <f>0*E544/100</f>
        <v>0</v>
      </c>
      <c r="H544" s="117">
        <f>4.6*E544/100</f>
        <v>5.0599999999999996</v>
      </c>
      <c r="I544" s="117">
        <f>23.2*E544/100</f>
        <v>25.52</v>
      </c>
      <c r="J544" s="117">
        <f>0*E544/100</f>
        <v>0</v>
      </c>
      <c r="K544" s="117">
        <f>25*E544/100</f>
        <v>27.5</v>
      </c>
      <c r="L544" s="117">
        <v>0</v>
      </c>
      <c r="M544" s="117">
        <v>0</v>
      </c>
      <c r="N544" s="117">
        <f>14*E544/100</f>
        <v>15.4</v>
      </c>
      <c r="O544" s="117">
        <v>0</v>
      </c>
      <c r="P544" s="117">
        <f>9.34*E544/100</f>
        <v>10.274000000000001</v>
      </c>
      <c r="Q544" s="117">
        <f>0.9*E544/100</f>
        <v>0.99</v>
      </c>
      <c r="R544" s="17"/>
      <c r="S544" s="17"/>
    </row>
    <row r="545" spans="1:19" ht="15.75" customHeight="1" x14ac:dyDescent="0.25">
      <c r="A545" s="470" t="s">
        <v>68</v>
      </c>
      <c r="B545" s="539" t="s">
        <v>69</v>
      </c>
      <c r="C545" s="476"/>
      <c r="D545" s="477"/>
      <c r="E545" s="122">
        <v>100</v>
      </c>
      <c r="F545" s="470">
        <f>23.56*(E545+E546)/(100+100)</f>
        <v>23.56</v>
      </c>
      <c r="G545" s="470">
        <f>20.24*(E545+E546)/(100+100)</f>
        <v>20.239999999999998</v>
      </c>
      <c r="H545" s="470">
        <f>5.86*(E545+E546)/(100+100)</f>
        <v>5.86</v>
      </c>
      <c r="I545" s="470">
        <f>300*(E545+E546)/(100+100)</f>
        <v>300</v>
      </c>
      <c r="J545" s="470">
        <v>0</v>
      </c>
      <c r="K545" s="470">
        <f>2.88*(E545+E546)/(100+100)</f>
        <v>2.88</v>
      </c>
      <c r="L545" s="470">
        <v>0</v>
      </c>
      <c r="M545" s="470">
        <v>0</v>
      </c>
      <c r="N545" s="470">
        <f>77.8*(E545+E546)/(100+100)</f>
        <v>77.8</v>
      </c>
      <c r="O545" s="470">
        <v>0</v>
      </c>
      <c r="P545" s="470">
        <f>26.28*(E545+E546)/(100+100)</f>
        <v>26.28</v>
      </c>
      <c r="Q545" s="470">
        <f>1.82*(E545+E546)/(100+100)</f>
        <v>1.82</v>
      </c>
      <c r="R545" s="17"/>
      <c r="S545" s="17"/>
    </row>
    <row r="546" spans="1:19" ht="15.75" customHeight="1" x14ac:dyDescent="0.25">
      <c r="A546" s="471"/>
      <c r="B546" s="478"/>
      <c r="C546" s="479"/>
      <c r="D546" s="480"/>
      <c r="E546" s="122">
        <f>E545</f>
        <v>100</v>
      </c>
      <c r="F546" s="471"/>
      <c r="G546" s="471"/>
      <c r="H546" s="471"/>
      <c r="I546" s="471"/>
      <c r="J546" s="471"/>
      <c r="K546" s="471"/>
      <c r="L546" s="471"/>
      <c r="M546" s="471"/>
      <c r="N546" s="471"/>
      <c r="O546" s="471"/>
      <c r="P546" s="471"/>
      <c r="Q546" s="471"/>
      <c r="R546" s="19"/>
      <c r="S546" s="19"/>
    </row>
    <row r="547" spans="1:19" ht="15.75" customHeight="1" x14ac:dyDescent="0.25">
      <c r="A547" s="106">
        <v>302</v>
      </c>
      <c r="B547" s="41" t="s">
        <v>175</v>
      </c>
      <c r="C547" s="41"/>
      <c r="D547" s="41"/>
      <c r="E547" s="115">
        <v>200</v>
      </c>
      <c r="F547" s="115">
        <f>8.6*E547/200</f>
        <v>8.6</v>
      </c>
      <c r="G547" s="115">
        <f>7.2*E547/200</f>
        <v>7.2</v>
      </c>
      <c r="H547" s="115">
        <f>47.6*E547/200</f>
        <v>47.6</v>
      </c>
      <c r="I547" s="115">
        <f>289.6*E547/200</f>
        <v>289.60000000000002</v>
      </c>
      <c r="J547" s="115"/>
      <c r="K547" s="115">
        <v>0</v>
      </c>
      <c r="L547" s="115">
        <v>0</v>
      </c>
      <c r="M547" s="115"/>
      <c r="N547" s="115">
        <f>14.64*E547/200</f>
        <v>14.64</v>
      </c>
      <c r="O547" s="115">
        <v>0</v>
      </c>
      <c r="P547" s="115">
        <f>40.45*E547/200</f>
        <v>40.450000000000003</v>
      </c>
      <c r="Q547" s="115">
        <f>3.41*E547/200</f>
        <v>3.41</v>
      </c>
      <c r="R547" s="17"/>
      <c r="S547" s="17"/>
    </row>
    <row r="548" spans="1:19" ht="15.75" customHeight="1" x14ac:dyDescent="0.25">
      <c r="A548" s="106">
        <v>389</v>
      </c>
      <c r="B548" s="439" t="s">
        <v>188</v>
      </c>
      <c r="C548" s="440"/>
      <c r="D548" s="441"/>
      <c r="E548" s="95">
        <v>200</v>
      </c>
      <c r="F548" s="131">
        <v>1</v>
      </c>
      <c r="G548" s="131">
        <v>0</v>
      </c>
      <c r="H548" s="131">
        <v>20.2</v>
      </c>
      <c r="I548" s="151">
        <v>84.8</v>
      </c>
      <c r="J548" s="152">
        <v>0</v>
      </c>
      <c r="K548" s="152">
        <v>4</v>
      </c>
      <c r="L548" s="152">
        <v>0</v>
      </c>
      <c r="M548" s="152">
        <v>0</v>
      </c>
      <c r="N548" s="152">
        <v>14</v>
      </c>
      <c r="O548" s="152">
        <v>0</v>
      </c>
      <c r="P548" s="152">
        <v>8</v>
      </c>
      <c r="Q548" s="152">
        <v>2.8</v>
      </c>
      <c r="R548" s="29"/>
      <c r="S548" s="29"/>
    </row>
    <row r="549" spans="1:19" ht="15.75" customHeight="1" x14ac:dyDescent="0.25">
      <c r="A549" s="106"/>
      <c r="B549" s="41" t="s">
        <v>39</v>
      </c>
      <c r="C549" s="41"/>
      <c r="D549" s="41"/>
      <c r="E549" s="99">
        <v>55</v>
      </c>
      <c r="F549" s="117">
        <f>4.03*E549/50</f>
        <v>4.4329999999999998</v>
      </c>
      <c r="G549" s="117">
        <f>0.5*E549/50</f>
        <v>0.55000000000000004</v>
      </c>
      <c r="H549" s="117">
        <f>22.36*E549/50</f>
        <v>24.596</v>
      </c>
      <c r="I549" s="117">
        <f>98.86*E549/50</f>
        <v>108.74600000000001</v>
      </c>
      <c r="J549" s="117">
        <v>0</v>
      </c>
      <c r="K549" s="117">
        <v>0</v>
      </c>
      <c r="L549" s="117">
        <v>0</v>
      </c>
      <c r="M549" s="117">
        <v>0</v>
      </c>
      <c r="N549" s="117">
        <f>17.59*E549/50</f>
        <v>19.349</v>
      </c>
      <c r="O549" s="117">
        <v>0</v>
      </c>
      <c r="P549" s="117">
        <f>1.89*E549/50</f>
        <v>2.0789999999999997</v>
      </c>
      <c r="Q549" s="117">
        <f>0.88*E549/50</f>
        <v>0.96799999999999997</v>
      </c>
      <c r="R549" s="17"/>
      <c r="S549" s="17"/>
    </row>
    <row r="550" spans="1:19" ht="15.75" customHeight="1" x14ac:dyDescent="0.25">
      <c r="A550" s="106"/>
      <c r="B550" s="439" t="s">
        <v>28</v>
      </c>
      <c r="C550" s="440"/>
      <c r="D550" s="441"/>
      <c r="E550" s="99">
        <v>30</v>
      </c>
      <c r="F550" s="117">
        <f>2.26*E550/30</f>
        <v>2.2599999999999998</v>
      </c>
      <c r="G550" s="117">
        <f>0.23*E550/30</f>
        <v>0.23</v>
      </c>
      <c r="H550" s="117">
        <f>14.66*E550/30</f>
        <v>14.66</v>
      </c>
      <c r="I550" s="117">
        <f>68.86*E550/30</f>
        <v>68.86</v>
      </c>
      <c r="J550" s="117">
        <v>0</v>
      </c>
      <c r="K550" s="117">
        <v>0</v>
      </c>
      <c r="L550" s="117">
        <v>0</v>
      </c>
      <c r="M550" s="117">
        <v>0</v>
      </c>
      <c r="N550" s="117">
        <f>12.97*E550/30</f>
        <v>12.97</v>
      </c>
      <c r="O550" s="117">
        <v>0</v>
      </c>
      <c r="P550" s="117">
        <f>2.83*E550/30</f>
        <v>2.83</v>
      </c>
      <c r="Q550" s="117">
        <f>0.74*E550/30</f>
        <v>0.74</v>
      </c>
      <c r="R550" s="17"/>
      <c r="S550" s="17"/>
    </row>
    <row r="551" spans="1:19" ht="15.75" customHeight="1" x14ac:dyDescent="0.25">
      <c r="A551" s="106"/>
      <c r="B551" s="442" t="s">
        <v>72</v>
      </c>
      <c r="C551" s="472"/>
      <c r="D551" s="473"/>
      <c r="E551" s="100">
        <f t="shared" ref="E551:Q551" si="92">SUM(E544:E550)</f>
        <v>795</v>
      </c>
      <c r="F551" s="117">
        <f t="shared" si="92"/>
        <v>41.172999999999995</v>
      </c>
      <c r="G551" s="117">
        <f t="shared" si="92"/>
        <v>28.22</v>
      </c>
      <c r="H551" s="117">
        <f t="shared" si="92"/>
        <v>117.976</v>
      </c>
      <c r="I551" s="117">
        <f t="shared" si="92"/>
        <v>877.52599999999995</v>
      </c>
      <c r="J551" s="117">
        <f t="shared" si="92"/>
        <v>0</v>
      </c>
      <c r="K551" s="117">
        <f t="shared" si="92"/>
        <v>34.379999999999995</v>
      </c>
      <c r="L551" s="117">
        <f t="shared" si="92"/>
        <v>0</v>
      </c>
      <c r="M551" s="117">
        <f t="shared" si="92"/>
        <v>0</v>
      </c>
      <c r="N551" s="117">
        <f t="shared" si="92"/>
        <v>154.15899999999999</v>
      </c>
      <c r="O551" s="117">
        <f t="shared" si="92"/>
        <v>0</v>
      </c>
      <c r="P551" s="117">
        <f t="shared" si="92"/>
        <v>89.912999999999997</v>
      </c>
      <c r="Q551" s="117">
        <f t="shared" si="92"/>
        <v>10.728</v>
      </c>
      <c r="R551" s="29"/>
      <c r="S551" s="29"/>
    </row>
    <row r="552" spans="1:19" ht="13.5" customHeight="1" x14ac:dyDescent="0.25">
      <c r="A552" s="201"/>
      <c r="B552" s="522" t="s">
        <v>149</v>
      </c>
      <c r="C552" s="446"/>
      <c r="D552" s="447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"/>
      <c r="S552" s="1"/>
    </row>
    <row r="553" spans="1:19" ht="14.25" customHeight="1" x14ac:dyDescent="0.25">
      <c r="A553" s="106">
        <v>386</v>
      </c>
      <c r="B553" s="482" t="s">
        <v>93</v>
      </c>
      <c r="C553" s="440"/>
      <c r="D553" s="441"/>
      <c r="E553" s="102">
        <v>200</v>
      </c>
      <c r="F553" s="106">
        <v>5.6</v>
      </c>
      <c r="G553" s="106">
        <v>6.4</v>
      </c>
      <c r="H553" s="106">
        <v>7.6</v>
      </c>
      <c r="I553" s="106">
        <v>110</v>
      </c>
      <c r="J553" s="132">
        <v>0</v>
      </c>
      <c r="K553" s="106">
        <v>0.6</v>
      </c>
      <c r="L553" s="132">
        <v>0</v>
      </c>
      <c r="M553" s="106">
        <v>0</v>
      </c>
      <c r="N553" s="132">
        <v>248</v>
      </c>
      <c r="O553" s="106">
        <v>0</v>
      </c>
      <c r="P553" s="132">
        <v>28</v>
      </c>
      <c r="Q553" s="106">
        <v>0.2</v>
      </c>
      <c r="R553" s="29"/>
      <c r="S553" s="29"/>
    </row>
    <row r="554" spans="1:19" ht="14.25" customHeight="1" x14ac:dyDescent="0.25">
      <c r="A554" s="106" t="s">
        <v>27</v>
      </c>
      <c r="B554" s="545" t="s">
        <v>195</v>
      </c>
      <c r="C554" s="440"/>
      <c r="D554" s="441"/>
      <c r="E554" s="153" t="s">
        <v>196</v>
      </c>
      <c r="F554" s="135">
        <v>1.62</v>
      </c>
      <c r="G554" s="135">
        <v>6.66</v>
      </c>
      <c r="H554" s="135">
        <v>10.7</v>
      </c>
      <c r="I554" s="135">
        <v>109.22</v>
      </c>
      <c r="J554" s="154">
        <v>0</v>
      </c>
      <c r="K554" s="154">
        <v>0.1</v>
      </c>
      <c r="L554" s="154">
        <v>0</v>
      </c>
      <c r="M554" s="154">
        <v>0</v>
      </c>
      <c r="N554" s="154">
        <v>18</v>
      </c>
      <c r="O554" s="154">
        <v>90</v>
      </c>
      <c r="P554" s="154">
        <v>215</v>
      </c>
      <c r="Q554" s="154">
        <v>11.7</v>
      </c>
      <c r="R554" s="29"/>
      <c r="S554" s="29"/>
    </row>
    <row r="555" spans="1:19" ht="15.75" customHeight="1" x14ac:dyDescent="0.25">
      <c r="A555" s="106"/>
      <c r="B555" s="442" t="s">
        <v>197</v>
      </c>
      <c r="C555" s="472"/>
      <c r="D555" s="473"/>
      <c r="E555" s="26">
        <f>E553+20</f>
        <v>220</v>
      </c>
      <c r="F555" s="26">
        <f t="shared" ref="F555:Q555" si="93">SUM(F553:F554)</f>
        <v>7.22</v>
      </c>
      <c r="G555" s="26">
        <f t="shared" si="93"/>
        <v>13.06</v>
      </c>
      <c r="H555" s="26">
        <f t="shared" si="93"/>
        <v>18.299999999999997</v>
      </c>
      <c r="I555" s="26">
        <f t="shared" si="93"/>
        <v>219.22</v>
      </c>
      <c r="J555" s="55">
        <f t="shared" si="93"/>
        <v>0</v>
      </c>
      <c r="K555" s="26">
        <f t="shared" si="93"/>
        <v>0.7</v>
      </c>
      <c r="L555" s="55">
        <f t="shared" si="93"/>
        <v>0</v>
      </c>
      <c r="M555" s="26">
        <f t="shared" si="93"/>
        <v>0</v>
      </c>
      <c r="N555" s="55">
        <f t="shared" si="93"/>
        <v>266</v>
      </c>
      <c r="O555" s="26">
        <f t="shared" si="93"/>
        <v>90</v>
      </c>
      <c r="P555" s="55">
        <f t="shared" si="93"/>
        <v>243</v>
      </c>
      <c r="Q555" s="26">
        <f t="shared" si="93"/>
        <v>11.899999999999999</v>
      </c>
      <c r="R555" s="17"/>
      <c r="S555" s="17"/>
    </row>
    <row r="556" spans="1:19" s="85" customFormat="1" ht="15.75" customHeight="1" x14ac:dyDescent="0.25">
      <c r="A556" s="109"/>
      <c r="B556" s="436" t="s">
        <v>53</v>
      </c>
      <c r="C556" s="437"/>
      <c r="D556" s="438"/>
      <c r="E556" s="91">
        <v>8</v>
      </c>
      <c r="F556" s="144"/>
      <c r="G556" s="144"/>
      <c r="H556" s="144"/>
      <c r="I556" s="144"/>
      <c r="J556" s="144"/>
      <c r="K556" s="144"/>
      <c r="L556" s="144"/>
      <c r="M556" s="144"/>
      <c r="N556" s="144">
        <v>29.44</v>
      </c>
      <c r="O556" s="144"/>
      <c r="P556" s="144">
        <v>1.76</v>
      </c>
      <c r="Q556" s="144">
        <v>0.23</v>
      </c>
      <c r="R556" s="221"/>
      <c r="S556" s="221"/>
    </row>
    <row r="557" spans="1:19" ht="15.75" customHeight="1" x14ac:dyDescent="0.25">
      <c r="A557" s="106"/>
      <c r="B557" s="422" t="s">
        <v>198</v>
      </c>
      <c r="C557" s="423"/>
      <c r="D557" s="424"/>
      <c r="E557" s="27">
        <f t="shared" ref="E557:M557" si="94">SUM(E524,E527,E537,E542,E551,E555)</f>
        <v>3687.0039999999999</v>
      </c>
      <c r="F557" s="22">
        <f t="shared" si="94"/>
        <v>145.99868156862743</v>
      </c>
      <c r="G557" s="22">
        <f t="shared" si="94"/>
        <v>130.30037105882352</v>
      </c>
      <c r="H557" s="22">
        <f t="shared" si="94"/>
        <v>509.88718807843139</v>
      </c>
      <c r="I557" s="22">
        <f t="shared" si="94"/>
        <v>3884.0568188235293</v>
      </c>
      <c r="J557" s="22">
        <f t="shared" si="94"/>
        <v>0.02</v>
      </c>
      <c r="K557" s="22">
        <f t="shared" si="94"/>
        <v>110.07002352941176</v>
      </c>
      <c r="L557" s="22">
        <f t="shared" si="94"/>
        <v>2.1460000000000004</v>
      </c>
      <c r="M557" s="22">
        <f t="shared" si="94"/>
        <v>23.3</v>
      </c>
      <c r="N557" s="22">
        <f>SUM(N524,N527,N537,N542,N551,N555,N556)</f>
        <v>1435.115272</v>
      </c>
      <c r="O557" s="22">
        <f>SUM(O524,O527,O537,O542,O551,O555)</f>
        <v>90</v>
      </c>
      <c r="P557" s="22">
        <f>SUM(P524,P527,P537,P542,P551,P555)</f>
        <v>759.37942352941184</v>
      </c>
      <c r="Q557" s="22">
        <f>SUM(Q524,Q527,Q537,Q542,Q551,Q555)</f>
        <v>45.343069411764702</v>
      </c>
      <c r="R557" s="29"/>
      <c r="S557" s="29"/>
    </row>
    <row r="558" spans="1:19" ht="15.75" customHeight="1" x14ac:dyDescent="0.25">
      <c r="A558" s="4"/>
      <c r="B558" s="43"/>
      <c r="C558" s="43"/>
      <c r="D558" s="43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1"/>
      <c r="S558" s="1"/>
    </row>
    <row r="559" spans="1:19" ht="24.75" customHeight="1" x14ac:dyDescent="0.25">
      <c r="A559" s="523" t="s">
        <v>199</v>
      </c>
      <c r="B559" s="524"/>
      <c r="C559" s="524"/>
      <c r="D559" s="524"/>
      <c r="E559" s="524"/>
      <c r="F559" s="524"/>
      <c r="G559" s="524"/>
      <c r="H559" s="524"/>
      <c r="I559" s="524"/>
      <c r="J559" s="524"/>
      <c r="K559" s="524"/>
      <c r="L559" s="524"/>
      <c r="M559" s="524"/>
      <c r="N559" s="524"/>
      <c r="O559" s="524"/>
      <c r="P559" s="524"/>
      <c r="Q559" s="524"/>
      <c r="R559" s="525"/>
      <c r="S559" s="1"/>
    </row>
    <row r="560" spans="1:19" ht="15.75" customHeight="1" x14ac:dyDescent="0.25">
      <c r="A560" s="526" t="s">
        <v>3</v>
      </c>
      <c r="B560" s="528" t="s">
        <v>4</v>
      </c>
      <c r="C560" s="476"/>
      <c r="D560" s="477"/>
      <c r="E560" s="68" t="s">
        <v>5</v>
      </c>
      <c r="F560" s="530" t="s">
        <v>6</v>
      </c>
      <c r="G560" s="440"/>
      <c r="H560" s="441"/>
      <c r="I560" s="529" t="s">
        <v>7</v>
      </c>
      <c r="J560" s="427" t="s">
        <v>8</v>
      </c>
      <c r="K560" s="428"/>
      <c r="L560" s="428"/>
      <c r="M560" s="429"/>
      <c r="N560" s="530" t="s">
        <v>9</v>
      </c>
      <c r="O560" s="440"/>
      <c r="P560" s="440"/>
      <c r="Q560" s="441"/>
      <c r="R560" s="1"/>
      <c r="S560" s="1"/>
    </row>
    <row r="561" spans="1:19" ht="25.5" customHeight="1" x14ac:dyDescent="0.25">
      <c r="A561" s="527"/>
      <c r="B561" s="478"/>
      <c r="C561" s="479"/>
      <c r="D561" s="480"/>
      <c r="E561" s="69"/>
      <c r="F561" s="33" t="s">
        <v>10</v>
      </c>
      <c r="G561" s="33" t="s">
        <v>11</v>
      </c>
      <c r="H561" s="33" t="s">
        <v>12</v>
      </c>
      <c r="I561" s="527"/>
      <c r="J561" s="34" t="s">
        <v>13</v>
      </c>
      <c r="K561" s="34" t="s">
        <v>14</v>
      </c>
      <c r="L561" s="34" t="s">
        <v>15</v>
      </c>
      <c r="M561" s="35" t="s">
        <v>16</v>
      </c>
      <c r="N561" s="36" t="s">
        <v>17</v>
      </c>
      <c r="O561" s="34" t="s">
        <v>18</v>
      </c>
      <c r="P561" s="34" t="s">
        <v>19</v>
      </c>
      <c r="Q561" s="35" t="s">
        <v>20</v>
      </c>
      <c r="R561" s="1"/>
      <c r="S561" s="1"/>
    </row>
    <row r="562" spans="1:19" ht="15.75" customHeight="1" x14ac:dyDescent="0.25">
      <c r="A562" s="9">
        <v>1</v>
      </c>
      <c r="B562" s="532">
        <v>2</v>
      </c>
      <c r="C562" s="440"/>
      <c r="D562" s="441"/>
      <c r="E562" s="57">
        <v>3</v>
      </c>
      <c r="F562" s="57">
        <v>4</v>
      </c>
      <c r="G562" s="57">
        <v>5</v>
      </c>
      <c r="H562" s="57">
        <v>6</v>
      </c>
      <c r="I562" s="58">
        <v>7</v>
      </c>
      <c r="J562" s="57">
        <v>8</v>
      </c>
      <c r="K562" s="57">
        <v>9</v>
      </c>
      <c r="L562" s="57">
        <v>10</v>
      </c>
      <c r="M562" s="59">
        <v>11</v>
      </c>
      <c r="N562" s="57">
        <v>12</v>
      </c>
      <c r="O562" s="57">
        <v>13</v>
      </c>
      <c r="P562" s="57">
        <v>14</v>
      </c>
      <c r="Q562" s="60">
        <v>15</v>
      </c>
      <c r="R562" s="1"/>
      <c r="S562" s="1"/>
    </row>
    <row r="563" spans="1:19" ht="15.75" customHeight="1" x14ac:dyDescent="0.25">
      <c r="A563" s="38"/>
      <c r="B563" s="522" t="s">
        <v>21</v>
      </c>
      <c r="C563" s="446"/>
      <c r="D563" s="447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"/>
      <c r="S563" s="1"/>
    </row>
    <row r="564" spans="1:19" ht="15.75" customHeight="1" x14ac:dyDescent="0.25">
      <c r="A564" s="15">
        <v>2</v>
      </c>
      <c r="B564" s="439" t="s">
        <v>200</v>
      </c>
      <c r="C564" s="440"/>
      <c r="D564" s="441"/>
      <c r="E564" s="156" t="s">
        <v>201</v>
      </c>
      <c r="F564" s="157">
        <v>3.6</v>
      </c>
      <c r="G564" s="157">
        <v>7.65</v>
      </c>
      <c r="H564" s="157">
        <v>23.46</v>
      </c>
      <c r="I564" s="157">
        <v>177.1</v>
      </c>
      <c r="J564" s="157">
        <v>6.5000000000000002E-2</v>
      </c>
      <c r="K564" s="157">
        <v>0</v>
      </c>
      <c r="L564" s="157">
        <v>0</v>
      </c>
      <c r="M564" s="157">
        <v>0</v>
      </c>
      <c r="N564" s="157">
        <v>12.4</v>
      </c>
      <c r="O564" s="157">
        <v>36.4</v>
      </c>
      <c r="P564" s="157">
        <v>14.3</v>
      </c>
      <c r="Q564" s="157">
        <v>0.34</v>
      </c>
      <c r="R564" s="29"/>
      <c r="S564" s="29"/>
    </row>
    <row r="565" spans="1:19" ht="15" customHeight="1" x14ac:dyDescent="0.25">
      <c r="A565" s="553">
        <v>204</v>
      </c>
      <c r="B565" s="554" t="s">
        <v>97</v>
      </c>
      <c r="C565" s="476"/>
      <c r="D565" s="477"/>
      <c r="E565" s="158">
        <v>200</v>
      </c>
      <c r="F565" s="533">
        <f>13.54*E565/200</f>
        <v>13.54</v>
      </c>
      <c r="G565" s="533">
        <f>15.3*E565/200</f>
        <v>15.3</v>
      </c>
      <c r="H565" s="533">
        <f>34.11*E565/200</f>
        <v>34.11</v>
      </c>
      <c r="I565" s="533">
        <f>328.3*E565/200</f>
        <v>328.3</v>
      </c>
      <c r="J565" s="533">
        <f>0*E565/200</f>
        <v>0</v>
      </c>
      <c r="K565" s="533">
        <f>0.22*E565/200</f>
        <v>0.22</v>
      </c>
      <c r="L565" s="533">
        <f>0*E565/200</f>
        <v>0</v>
      </c>
      <c r="M565" s="533">
        <f>0*E565/200</f>
        <v>0</v>
      </c>
      <c r="N565" s="533">
        <f>295.2*E565/200</f>
        <v>295.2</v>
      </c>
      <c r="O565" s="533">
        <f>0*E565/200</f>
        <v>0</v>
      </c>
      <c r="P565" s="533">
        <f>20.32*E565/200</f>
        <v>20.32</v>
      </c>
      <c r="Q565" s="533">
        <f>1.23*E565/200</f>
        <v>1.23</v>
      </c>
      <c r="R565" s="17"/>
      <c r="S565" s="17"/>
    </row>
    <row r="566" spans="1:19" ht="12.75" customHeight="1" x14ac:dyDescent="0.25">
      <c r="A566" s="527"/>
      <c r="B566" s="478"/>
      <c r="C566" s="479"/>
      <c r="D566" s="480"/>
      <c r="E566" s="130">
        <f>E565*16/100</f>
        <v>32</v>
      </c>
      <c r="F566" s="471"/>
      <c r="G566" s="471"/>
      <c r="H566" s="471"/>
      <c r="I566" s="471"/>
      <c r="J566" s="471"/>
      <c r="K566" s="471"/>
      <c r="L566" s="471"/>
      <c r="M566" s="471"/>
      <c r="N566" s="471"/>
      <c r="O566" s="471"/>
      <c r="P566" s="471"/>
      <c r="Q566" s="471"/>
      <c r="R566" s="29"/>
      <c r="S566" s="29"/>
    </row>
    <row r="567" spans="1:19" ht="19.5" customHeight="1" x14ac:dyDescent="0.25">
      <c r="A567" s="54">
        <v>50</v>
      </c>
      <c r="B567" s="555" t="s">
        <v>96</v>
      </c>
      <c r="C567" s="440"/>
      <c r="D567" s="441"/>
      <c r="E567" s="157">
        <v>100</v>
      </c>
      <c r="F567" s="159">
        <f>1.7*E567/100</f>
        <v>1.7</v>
      </c>
      <c r="G567" s="159">
        <f>8.8*E567/100</f>
        <v>8.8000000000000007</v>
      </c>
      <c r="H567" s="159">
        <f>7.7*E567/100</f>
        <v>7.7</v>
      </c>
      <c r="I567" s="159">
        <f>116.8*E567/100</f>
        <v>116.8</v>
      </c>
      <c r="J567" s="159">
        <f>0*E567/100</f>
        <v>0</v>
      </c>
      <c r="K567" s="159">
        <f>8*E567/100</f>
        <v>8</v>
      </c>
      <c r="L567" s="159">
        <f>0*E567/100</f>
        <v>0</v>
      </c>
      <c r="M567" s="159">
        <f>0*E567/100</f>
        <v>0</v>
      </c>
      <c r="N567" s="159">
        <f>41*E567/100</f>
        <v>41</v>
      </c>
      <c r="O567" s="159">
        <f>0*E567/100</f>
        <v>0</v>
      </c>
      <c r="P567" s="159">
        <f>35*E567/100</f>
        <v>35</v>
      </c>
      <c r="Q567" s="159">
        <f>7*E567/100</f>
        <v>7</v>
      </c>
      <c r="R567" s="17"/>
      <c r="S567" s="17"/>
    </row>
    <row r="568" spans="1:19" ht="15.75" customHeight="1" x14ac:dyDescent="0.25">
      <c r="A568" s="15">
        <v>382</v>
      </c>
      <c r="B568" s="439" t="s">
        <v>58</v>
      </c>
      <c r="C568" s="440"/>
      <c r="D568" s="441"/>
      <c r="E568" s="115">
        <v>200</v>
      </c>
      <c r="F568" s="115">
        <v>3.76</v>
      </c>
      <c r="G568" s="115">
        <v>3.2</v>
      </c>
      <c r="H568" s="115">
        <v>17.57</v>
      </c>
      <c r="I568" s="115">
        <v>114.12</v>
      </c>
      <c r="J568" s="115">
        <v>0</v>
      </c>
      <c r="K568" s="115">
        <v>1.58</v>
      </c>
      <c r="L568" s="115">
        <v>0</v>
      </c>
      <c r="M568" s="115">
        <v>0</v>
      </c>
      <c r="N568" s="115">
        <v>152.22</v>
      </c>
      <c r="O568" s="115">
        <v>0</v>
      </c>
      <c r="P568" s="115">
        <v>21.34</v>
      </c>
      <c r="Q568" s="115">
        <v>0.47</v>
      </c>
      <c r="R568" s="29"/>
      <c r="S568" s="29"/>
    </row>
    <row r="569" spans="1:19" ht="15.75" customHeight="1" x14ac:dyDescent="0.25">
      <c r="A569" s="15">
        <v>209</v>
      </c>
      <c r="B569" s="439" t="s">
        <v>191</v>
      </c>
      <c r="C569" s="440"/>
      <c r="D569" s="441"/>
      <c r="E569" s="106" t="s">
        <v>202</v>
      </c>
      <c r="F569" s="106">
        <v>5.0999999999999996</v>
      </c>
      <c r="G569" s="106">
        <v>4.5999999999999996</v>
      </c>
      <c r="H569" s="106">
        <v>0.3</v>
      </c>
      <c r="I569" s="106">
        <v>63</v>
      </c>
      <c r="J569" s="106"/>
      <c r="K569" s="106"/>
      <c r="L569" s="106"/>
      <c r="M569" s="106"/>
      <c r="N569" s="106">
        <v>22</v>
      </c>
      <c r="O569" s="106"/>
      <c r="P569" s="106">
        <v>4.8</v>
      </c>
      <c r="Q569" s="106">
        <v>1</v>
      </c>
      <c r="R569" s="29"/>
      <c r="S569" s="29"/>
    </row>
    <row r="570" spans="1:19" ht="15.75" customHeight="1" x14ac:dyDescent="0.25">
      <c r="A570" s="15"/>
      <c r="B570" s="442" t="s">
        <v>29</v>
      </c>
      <c r="C570" s="472"/>
      <c r="D570" s="473"/>
      <c r="E570" s="160">
        <f t="shared" ref="E570:Q570" si="95">SUM(E564:E569)</f>
        <v>532</v>
      </c>
      <c r="F570" s="106">
        <f t="shared" si="95"/>
        <v>27.700000000000003</v>
      </c>
      <c r="G570" s="106">
        <f t="shared" si="95"/>
        <v>39.550000000000004</v>
      </c>
      <c r="H570" s="106">
        <f t="shared" si="95"/>
        <v>83.14</v>
      </c>
      <c r="I570" s="106">
        <f t="shared" si="95"/>
        <v>799.31999999999994</v>
      </c>
      <c r="J570" s="106">
        <f t="shared" si="95"/>
        <v>6.5000000000000002E-2</v>
      </c>
      <c r="K570" s="106">
        <f t="shared" si="95"/>
        <v>9.8000000000000007</v>
      </c>
      <c r="L570" s="106">
        <f t="shared" si="95"/>
        <v>0</v>
      </c>
      <c r="M570" s="106">
        <f t="shared" si="95"/>
        <v>0</v>
      </c>
      <c r="N570" s="106">
        <f t="shared" si="95"/>
        <v>522.81999999999994</v>
      </c>
      <c r="O570" s="106">
        <f t="shared" si="95"/>
        <v>36.4</v>
      </c>
      <c r="P570" s="106">
        <f t="shared" si="95"/>
        <v>95.76</v>
      </c>
      <c r="Q570" s="106">
        <f t="shared" si="95"/>
        <v>10.040000000000001</v>
      </c>
      <c r="R570" s="29"/>
      <c r="S570" s="29"/>
    </row>
    <row r="571" spans="1:19" ht="15.75" customHeight="1" x14ac:dyDescent="0.25">
      <c r="A571" s="38"/>
      <c r="B571" s="522" t="s">
        <v>30</v>
      </c>
      <c r="C571" s="446"/>
      <c r="D571" s="447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"/>
      <c r="S571" s="1"/>
    </row>
    <row r="572" spans="1:19" ht="15.75" customHeight="1" x14ac:dyDescent="0.25">
      <c r="A572" s="15">
        <v>338</v>
      </c>
      <c r="B572" s="439" t="s">
        <v>31</v>
      </c>
      <c r="C572" s="440"/>
      <c r="D572" s="441"/>
      <c r="E572" s="133">
        <v>300</v>
      </c>
      <c r="F572" s="133">
        <v>1.2</v>
      </c>
      <c r="G572" s="134">
        <v>1.2</v>
      </c>
      <c r="H572" s="133">
        <v>29.4</v>
      </c>
      <c r="I572" s="133">
        <v>132</v>
      </c>
      <c r="J572" s="133">
        <v>0</v>
      </c>
      <c r="K572" s="133">
        <v>30</v>
      </c>
      <c r="L572" s="133">
        <v>0</v>
      </c>
      <c r="M572" s="133">
        <v>0</v>
      </c>
      <c r="N572" s="133">
        <v>48</v>
      </c>
      <c r="O572" s="133">
        <v>0</v>
      </c>
      <c r="P572" s="133">
        <v>27</v>
      </c>
      <c r="Q572" s="133">
        <v>6.6</v>
      </c>
      <c r="R572" s="1"/>
      <c r="S572" s="1"/>
    </row>
    <row r="573" spans="1:19" ht="15.75" customHeight="1" x14ac:dyDescent="0.25">
      <c r="A573" s="15"/>
      <c r="B573" s="442" t="s">
        <v>32</v>
      </c>
      <c r="C573" s="472"/>
      <c r="D573" s="473"/>
      <c r="E573" s="106">
        <f>E572</f>
        <v>300</v>
      </c>
      <c r="F573" s="106">
        <f t="shared" ref="F573:Q573" si="96">SUM(F572)</f>
        <v>1.2</v>
      </c>
      <c r="G573" s="132">
        <f t="shared" si="96"/>
        <v>1.2</v>
      </c>
      <c r="H573" s="106">
        <f t="shared" si="96"/>
        <v>29.4</v>
      </c>
      <c r="I573" s="106">
        <f t="shared" si="96"/>
        <v>132</v>
      </c>
      <c r="J573" s="106">
        <f t="shared" si="96"/>
        <v>0</v>
      </c>
      <c r="K573" s="106">
        <f t="shared" si="96"/>
        <v>30</v>
      </c>
      <c r="L573" s="106">
        <f t="shared" si="96"/>
        <v>0</v>
      </c>
      <c r="M573" s="106">
        <f t="shared" si="96"/>
        <v>0</v>
      </c>
      <c r="N573" s="106">
        <f t="shared" si="96"/>
        <v>48</v>
      </c>
      <c r="O573" s="106">
        <f t="shared" si="96"/>
        <v>0</v>
      </c>
      <c r="P573" s="106">
        <f t="shared" si="96"/>
        <v>27</v>
      </c>
      <c r="Q573" s="106">
        <f t="shared" si="96"/>
        <v>6.6</v>
      </c>
      <c r="R573" s="1"/>
      <c r="S573" s="1"/>
    </row>
    <row r="574" spans="1:19" ht="15.75" customHeight="1" x14ac:dyDescent="0.25">
      <c r="A574" s="38"/>
      <c r="B574" s="522" t="s">
        <v>33</v>
      </c>
      <c r="C574" s="446"/>
      <c r="D574" s="447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"/>
      <c r="S574" s="1"/>
    </row>
    <row r="575" spans="1:19" ht="15.75" customHeight="1" x14ac:dyDescent="0.25">
      <c r="A575" s="15">
        <v>71</v>
      </c>
      <c r="B575" s="439" t="s">
        <v>203</v>
      </c>
      <c r="C575" s="440"/>
      <c r="D575" s="441"/>
      <c r="E575" s="100">
        <v>100</v>
      </c>
      <c r="F575" s="117">
        <f>1.2*E575/100</f>
        <v>1.2</v>
      </c>
      <c r="G575" s="117">
        <f>0*E575/100</f>
        <v>0</v>
      </c>
      <c r="H575" s="117">
        <f>4.6*E575/100</f>
        <v>4.5999999999999996</v>
      </c>
      <c r="I575" s="117">
        <f>23.2*E575/100</f>
        <v>23.2</v>
      </c>
      <c r="J575" s="117">
        <f>0*E575/100</f>
        <v>0</v>
      </c>
      <c r="K575" s="117">
        <f>25*E575/100</f>
        <v>25</v>
      </c>
      <c r="L575" s="117">
        <v>0</v>
      </c>
      <c r="M575" s="117">
        <v>0</v>
      </c>
      <c r="N575" s="117">
        <f>14*E575/100</f>
        <v>14</v>
      </c>
      <c r="O575" s="117">
        <v>0</v>
      </c>
      <c r="P575" s="117">
        <f>9.34*E575/100</f>
        <v>9.34</v>
      </c>
      <c r="Q575" s="117">
        <f>0.9*E575/100</f>
        <v>0.9</v>
      </c>
      <c r="R575" s="17"/>
      <c r="S575" s="17"/>
    </row>
    <row r="576" spans="1:19" ht="19.5" customHeight="1" x14ac:dyDescent="0.25">
      <c r="A576" s="548">
        <v>96</v>
      </c>
      <c r="B576" s="542" t="s">
        <v>141</v>
      </c>
      <c r="C576" s="476"/>
      <c r="D576" s="477"/>
      <c r="E576" s="128">
        <v>300</v>
      </c>
      <c r="F576" s="547">
        <f>2.42*(E576+E577)/(300+10)</f>
        <v>2.4201561290322577</v>
      </c>
      <c r="G576" s="547">
        <f>6.1*(E576+E577)/(300+10)</f>
        <v>6.1003935483870961</v>
      </c>
      <c r="H576" s="549">
        <f>14.37*(E576+E577)/(300+10)</f>
        <v>14.37092709677419</v>
      </c>
      <c r="I576" s="547">
        <f>128.7*(E576+E577)/(300+10)</f>
        <v>128.70830322580642</v>
      </c>
      <c r="J576" s="547">
        <v>0</v>
      </c>
      <c r="K576" s="547">
        <f>10.05*(E576+E577)/(300+10)</f>
        <v>10.050648387096775</v>
      </c>
      <c r="L576" s="547">
        <v>0</v>
      </c>
      <c r="M576" s="547">
        <v>0</v>
      </c>
      <c r="N576" s="547">
        <f>34.98*(E576+E577)/(300+10)</f>
        <v>34.982256774193544</v>
      </c>
      <c r="O576" s="547">
        <v>0</v>
      </c>
      <c r="P576" s="547">
        <f>29.01*(E576+E577)/(300+10)</f>
        <v>29.011871612903228</v>
      </c>
      <c r="Q576" s="547">
        <f>1.11*(E576+E577)/(300+10)</f>
        <v>1.110071612903226</v>
      </c>
      <c r="R576" s="18"/>
      <c r="S576" s="18"/>
    </row>
    <row r="577" spans="1:19" ht="19.5" customHeight="1" x14ac:dyDescent="0.25">
      <c r="A577" s="527"/>
      <c r="B577" s="478"/>
      <c r="C577" s="479"/>
      <c r="D577" s="480"/>
      <c r="E577" s="161">
        <f>E576*3.34/100</f>
        <v>10.02</v>
      </c>
      <c r="F577" s="471"/>
      <c r="G577" s="471"/>
      <c r="H577" s="550"/>
      <c r="I577" s="471"/>
      <c r="J577" s="471"/>
      <c r="K577" s="471"/>
      <c r="L577" s="471"/>
      <c r="M577" s="471"/>
      <c r="N577" s="471"/>
      <c r="O577" s="471"/>
      <c r="P577" s="471"/>
      <c r="Q577" s="471"/>
      <c r="R577" s="18"/>
      <c r="S577" s="18"/>
    </row>
    <row r="578" spans="1:19" ht="15.75" customHeight="1" x14ac:dyDescent="0.25">
      <c r="A578" s="551">
        <v>290</v>
      </c>
      <c r="B578" s="552" t="s">
        <v>69</v>
      </c>
      <c r="C578" s="476"/>
      <c r="D578" s="477"/>
      <c r="E578" s="162">
        <v>100</v>
      </c>
      <c r="F578" s="537">
        <f>23.56*E578/100</f>
        <v>23.56</v>
      </c>
      <c r="G578" s="537">
        <f>20.24*E578/100</f>
        <v>20.239999999999998</v>
      </c>
      <c r="H578" s="537">
        <f>5.86*E578/100</f>
        <v>5.86</v>
      </c>
      <c r="I578" s="537">
        <f>300*E578/100</f>
        <v>300</v>
      </c>
      <c r="J578" s="537">
        <f>0*E578/100</f>
        <v>0</v>
      </c>
      <c r="K578" s="537">
        <f>0.03*E578/100</f>
        <v>0.03</v>
      </c>
      <c r="L578" s="537">
        <f>0*E578/100</f>
        <v>0</v>
      </c>
      <c r="M578" s="537">
        <f>0*E578/100</f>
        <v>0</v>
      </c>
      <c r="N578" s="537">
        <f>90.8*E578/100</f>
        <v>90.8</v>
      </c>
      <c r="O578" s="537">
        <f>0*E578/100</f>
        <v>0</v>
      </c>
      <c r="P578" s="537">
        <f>33.83*E578/100</f>
        <v>33.83</v>
      </c>
      <c r="Q578" s="537">
        <f>2.7*E578/100</f>
        <v>2.7</v>
      </c>
      <c r="R578" s="29"/>
      <c r="S578" s="29"/>
    </row>
    <row r="579" spans="1:19" ht="15.75" customHeight="1" x14ac:dyDescent="0.25">
      <c r="A579" s="527"/>
      <c r="B579" s="478"/>
      <c r="C579" s="479"/>
      <c r="D579" s="480"/>
      <c r="E579" s="162">
        <f>E578</f>
        <v>100</v>
      </c>
      <c r="F579" s="471"/>
      <c r="G579" s="471"/>
      <c r="H579" s="471"/>
      <c r="I579" s="471"/>
      <c r="J579" s="471"/>
      <c r="K579" s="471"/>
      <c r="L579" s="471"/>
      <c r="M579" s="471"/>
      <c r="N579" s="471"/>
      <c r="O579" s="471"/>
      <c r="P579" s="471"/>
      <c r="Q579" s="471"/>
      <c r="R579" s="29"/>
      <c r="S579" s="29"/>
    </row>
    <row r="580" spans="1:19" ht="15.75" customHeight="1" x14ac:dyDescent="0.25">
      <c r="A580" s="40">
        <v>312</v>
      </c>
      <c r="B580" s="439" t="s">
        <v>64</v>
      </c>
      <c r="C580" s="440"/>
      <c r="D580" s="441"/>
      <c r="E580" s="137">
        <v>200</v>
      </c>
      <c r="F580" s="117">
        <f>4.16*E580/200</f>
        <v>4.16</v>
      </c>
      <c r="G580" s="117">
        <f>6.8*E580/200</f>
        <v>6.8</v>
      </c>
      <c r="H580" s="117">
        <f>24.76*E580/200</f>
        <v>24.76</v>
      </c>
      <c r="I580" s="117">
        <f>176.88*E580/200</f>
        <v>176.88</v>
      </c>
      <c r="J580" s="117">
        <f>0*E580/200</f>
        <v>0</v>
      </c>
      <c r="K580" s="117">
        <f>23.7*E580/200</f>
        <v>23.7</v>
      </c>
      <c r="L580" s="117">
        <f>0*E580/200</f>
        <v>0</v>
      </c>
      <c r="M580" s="117">
        <f>0*E580/200</f>
        <v>0</v>
      </c>
      <c r="N580" s="117">
        <f>49.54*E580/200</f>
        <v>49.54</v>
      </c>
      <c r="O580" s="117">
        <f>0*E580/200</f>
        <v>0</v>
      </c>
      <c r="P580" s="117">
        <f>31.32*E580/200</f>
        <v>31.32</v>
      </c>
      <c r="Q580" s="117">
        <f>1.09*E580/200</f>
        <v>1.0900000000000001</v>
      </c>
      <c r="R580" s="29"/>
      <c r="S580" s="29"/>
    </row>
    <row r="581" spans="1:19" ht="15.75" customHeight="1" x14ac:dyDescent="0.25">
      <c r="A581" s="15">
        <v>342</v>
      </c>
      <c r="B581" s="439" t="s">
        <v>38</v>
      </c>
      <c r="C581" s="440"/>
      <c r="D581" s="441"/>
      <c r="E581" s="100">
        <v>200</v>
      </c>
      <c r="F581" s="117">
        <v>0.45</v>
      </c>
      <c r="G581" s="117">
        <v>0</v>
      </c>
      <c r="H581" s="117">
        <v>23.84</v>
      </c>
      <c r="I581" s="117">
        <v>97.16</v>
      </c>
      <c r="J581" s="117">
        <v>3.0000000000000001E-3</v>
      </c>
      <c r="K581" s="117">
        <v>0.3</v>
      </c>
      <c r="L581" s="117">
        <v>0</v>
      </c>
      <c r="M581" s="117">
        <v>0</v>
      </c>
      <c r="N581" s="117">
        <v>16.95</v>
      </c>
      <c r="O581" s="117">
        <v>11.55</v>
      </c>
      <c r="P581" s="117">
        <v>9</v>
      </c>
      <c r="Q581" s="117">
        <v>2.7</v>
      </c>
      <c r="R581" s="29"/>
      <c r="S581" s="29"/>
    </row>
    <row r="582" spans="1:19" ht="15.75" customHeight="1" x14ac:dyDescent="0.25">
      <c r="A582" s="15" t="s">
        <v>27</v>
      </c>
      <c r="B582" s="41" t="s">
        <v>39</v>
      </c>
      <c r="C582" s="41"/>
      <c r="D582" s="41"/>
      <c r="E582" s="99">
        <v>120</v>
      </c>
      <c r="F582" s="117">
        <f>4.03*E582/50</f>
        <v>9.6720000000000006</v>
      </c>
      <c r="G582" s="117">
        <f>0.5*E582/50</f>
        <v>1.2</v>
      </c>
      <c r="H582" s="117">
        <f>22.36*E582/50</f>
        <v>53.663999999999994</v>
      </c>
      <c r="I582" s="117">
        <f>98.86*E582/50</f>
        <v>237.26400000000001</v>
      </c>
      <c r="J582" s="117">
        <v>0</v>
      </c>
      <c r="K582" s="117">
        <v>0</v>
      </c>
      <c r="L582" s="117">
        <v>0</v>
      </c>
      <c r="M582" s="117">
        <v>0</v>
      </c>
      <c r="N582" s="117">
        <f>17.59*E582/50</f>
        <v>42.216000000000001</v>
      </c>
      <c r="O582" s="117">
        <v>0</v>
      </c>
      <c r="P582" s="117">
        <f>1.89*E582/50</f>
        <v>4.5359999999999996</v>
      </c>
      <c r="Q582" s="117">
        <f>0.88*E582/50</f>
        <v>2.1120000000000001</v>
      </c>
      <c r="R582" s="17"/>
      <c r="S582" s="17"/>
    </row>
    <row r="583" spans="1:19" ht="15.75" customHeight="1" x14ac:dyDescent="0.25">
      <c r="A583" s="15" t="s">
        <v>27</v>
      </c>
      <c r="B583" s="439" t="s">
        <v>28</v>
      </c>
      <c r="C583" s="440"/>
      <c r="D583" s="441"/>
      <c r="E583" s="99">
        <v>45</v>
      </c>
      <c r="F583" s="117">
        <f>2.26*E583/30</f>
        <v>3.3899999999999997</v>
      </c>
      <c r="G583" s="117">
        <f>0.23*E583/30</f>
        <v>0.34499999999999997</v>
      </c>
      <c r="H583" s="117">
        <f>14.66*E583/30</f>
        <v>21.990000000000002</v>
      </c>
      <c r="I583" s="117">
        <f>68.86*E583/30</f>
        <v>103.28999999999999</v>
      </c>
      <c r="J583" s="117">
        <v>0</v>
      </c>
      <c r="K583" s="117">
        <v>0</v>
      </c>
      <c r="L583" s="117">
        <v>0</v>
      </c>
      <c r="M583" s="117">
        <v>0</v>
      </c>
      <c r="N583" s="117">
        <f>12.97*E583/30</f>
        <v>19.454999999999998</v>
      </c>
      <c r="O583" s="117">
        <v>0</v>
      </c>
      <c r="P583" s="117">
        <f>2.83*E583/30</f>
        <v>4.2450000000000001</v>
      </c>
      <c r="Q583" s="117">
        <f>0.74*E583/30</f>
        <v>1.1099999999999999</v>
      </c>
      <c r="R583" s="17"/>
      <c r="S583" s="17"/>
    </row>
    <row r="584" spans="1:19" ht="15.75" customHeight="1" x14ac:dyDescent="0.25">
      <c r="A584" s="15"/>
      <c r="B584" s="442" t="s">
        <v>65</v>
      </c>
      <c r="C584" s="472"/>
      <c r="D584" s="473"/>
      <c r="E584" s="100">
        <f t="shared" ref="E584:Q584" si="97">SUM(E575:E583)</f>
        <v>1175.02</v>
      </c>
      <c r="F584" s="117">
        <f t="shared" si="97"/>
        <v>44.852156129032252</v>
      </c>
      <c r="G584" s="117">
        <f t="shared" si="97"/>
        <v>34.685393548387097</v>
      </c>
      <c r="H584" s="117">
        <f t="shared" si="97"/>
        <v>149.08492709677421</v>
      </c>
      <c r="I584" s="117">
        <f t="shared" si="97"/>
        <v>1066.5023032258064</v>
      </c>
      <c r="J584" s="117">
        <f t="shared" si="97"/>
        <v>3.0000000000000001E-3</v>
      </c>
      <c r="K584" s="117">
        <f t="shared" si="97"/>
        <v>59.080648387096772</v>
      </c>
      <c r="L584" s="117">
        <f t="shared" si="97"/>
        <v>0</v>
      </c>
      <c r="M584" s="117">
        <f t="shared" si="97"/>
        <v>0</v>
      </c>
      <c r="N584" s="117">
        <f t="shared" si="97"/>
        <v>267.94325677419351</v>
      </c>
      <c r="O584" s="117">
        <f t="shared" si="97"/>
        <v>11.55</v>
      </c>
      <c r="P584" s="117">
        <f t="shared" si="97"/>
        <v>121.28287161290322</v>
      </c>
      <c r="Q584" s="117">
        <f t="shared" si="97"/>
        <v>11.722071612903227</v>
      </c>
      <c r="R584" s="29"/>
      <c r="S584" s="29"/>
    </row>
    <row r="585" spans="1:19" ht="15.75" customHeight="1" x14ac:dyDescent="0.25">
      <c r="A585" s="75"/>
      <c r="B585" s="445" t="s">
        <v>41</v>
      </c>
      <c r="C585" s="446"/>
      <c r="D585" s="447"/>
      <c r="E585" s="125"/>
      <c r="F585" s="163"/>
      <c r="G585" s="125"/>
      <c r="H585" s="125"/>
      <c r="I585" s="106"/>
      <c r="J585" s="106"/>
      <c r="K585" s="125"/>
      <c r="L585" s="163"/>
      <c r="M585" s="125"/>
      <c r="N585" s="163"/>
      <c r="O585" s="125"/>
      <c r="P585" s="163"/>
      <c r="Q585" s="125"/>
      <c r="R585" s="1"/>
      <c r="S585" s="1"/>
    </row>
    <row r="586" spans="1:19" ht="15.75" customHeight="1" x14ac:dyDescent="0.25">
      <c r="A586" s="15" t="s">
        <v>27</v>
      </c>
      <c r="B586" s="439" t="s">
        <v>130</v>
      </c>
      <c r="C586" s="440"/>
      <c r="D586" s="441"/>
      <c r="E586" s="102">
        <v>20</v>
      </c>
      <c r="F586" s="102">
        <v>1.25</v>
      </c>
      <c r="G586" s="102">
        <v>1.48</v>
      </c>
      <c r="H586" s="102">
        <v>34.89</v>
      </c>
      <c r="I586" s="102">
        <v>160.75</v>
      </c>
      <c r="J586" s="102">
        <v>0</v>
      </c>
      <c r="K586" s="102">
        <v>0.1</v>
      </c>
      <c r="L586" s="102">
        <v>0</v>
      </c>
      <c r="M586" s="102">
        <v>0</v>
      </c>
      <c r="N586" s="102">
        <v>6.8</v>
      </c>
      <c r="O586" s="102">
        <v>0</v>
      </c>
      <c r="P586" s="102">
        <v>4.53</v>
      </c>
      <c r="Q586" s="102">
        <v>0.9</v>
      </c>
      <c r="R586" s="1"/>
      <c r="S586" s="1"/>
    </row>
    <row r="587" spans="1:19" ht="15.75" customHeight="1" x14ac:dyDescent="0.25">
      <c r="A587" s="15">
        <v>382</v>
      </c>
      <c r="B587" s="439" t="s">
        <v>58</v>
      </c>
      <c r="C587" s="440"/>
      <c r="D587" s="441"/>
      <c r="E587" s="106">
        <v>200</v>
      </c>
      <c r="F587" s="117">
        <v>3.76</v>
      </c>
      <c r="G587" s="117">
        <v>3.2</v>
      </c>
      <c r="H587" s="117">
        <v>17.57</v>
      </c>
      <c r="I587" s="117">
        <v>114.12</v>
      </c>
      <c r="J587" s="117">
        <v>0</v>
      </c>
      <c r="K587" s="117">
        <v>1.58</v>
      </c>
      <c r="L587" s="117">
        <v>0</v>
      </c>
      <c r="M587" s="117">
        <v>0</v>
      </c>
      <c r="N587" s="117">
        <v>152.22</v>
      </c>
      <c r="O587" s="117">
        <v>0</v>
      </c>
      <c r="P587" s="117">
        <v>21.34</v>
      </c>
      <c r="Q587" s="117">
        <v>0.47</v>
      </c>
      <c r="R587" s="1"/>
      <c r="S587" s="1"/>
    </row>
    <row r="588" spans="1:19" ht="15.75" customHeight="1" x14ac:dyDescent="0.25">
      <c r="A588" s="15"/>
      <c r="B588" s="442" t="s">
        <v>86</v>
      </c>
      <c r="C588" s="472"/>
      <c r="D588" s="473"/>
      <c r="E588" s="106">
        <f t="shared" ref="E588:Q588" si="98">SUM(E586:E587)</f>
        <v>220</v>
      </c>
      <c r="F588" s="106">
        <f t="shared" si="98"/>
        <v>5.01</v>
      </c>
      <c r="G588" s="106">
        <f t="shared" si="98"/>
        <v>4.68</v>
      </c>
      <c r="H588" s="106">
        <f t="shared" si="98"/>
        <v>52.46</v>
      </c>
      <c r="I588" s="106">
        <f t="shared" si="98"/>
        <v>274.87</v>
      </c>
      <c r="J588" s="106">
        <f t="shared" si="98"/>
        <v>0</v>
      </c>
      <c r="K588" s="106">
        <f t="shared" si="98"/>
        <v>1.6800000000000002</v>
      </c>
      <c r="L588" s="106">
        <f t="shared" si="98"/>
        <v>0</v>
      </c>
      <c r="M588" s="106">
        <f t="shared" si="98"/>
        <v>0</v>
      </c>
      <c r="N588" s="106">
        <f t="shared" si="98"/>
        <v>159.02000000000001</v>
      </c>
      <c r="O588" s="106">
        <f t="shared" si="98"/>
        <v>0</v>
      </c>
      <c r="P588" s="106">
        <f t="shared" si="98"/>
        <v>25.87</v>
      </c>
      <c r="Q588" s="106">
        <f t="shared" si="98"/>
        <v>1.37</v>
      </c>
      <c r="R588" s="1"/>
      <c r="S588" s="1"/>
    </row>
    <row r="589" spans="1:19" ht="15.75" customHeight="1" x14ac:dyDescent="0.25">
      <c r="A589" s="38"/>
      <c r="B589" s="557" t="s">
        <v>44</v>
      </c>
      <c r="C589" s="558"/>
      <c r="D589" s="559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"/>
      <c r="S589" s="1"/>
    </row>
    <row r="590" spans="1:19" ht="15.75" customHeight="1" x14ac:dyDescent="0.25">
      <c r="A590" s="15">
        <v>71</v>
      </c>
      <c r="B590" s="439" t="s">
        <v>183</v>
      </c>
      <c r="C590" s="440"/>
      <c r="D590" s="441"/>
      <c r="E590" s="99">
        <v>100</v>
      </c>
      <c r="F590" s="117">
        <f>0.8*E590/100</f>
        <v>0.8</v>
      </c>
      <c r="G590" s="117">
        <f>0*F590/100</f>
        <v>0</v>
      </c>
      <c r="H590" s="117">
        <f>3.4*E590/100</f>
        <v>3.4</v>
      </c>
      <c r="I590" s="117">
        <f>16.8*E590/100</f>
        <v>16.8</v>
      </c>
      <c r="J590" s="117">
        <f>0*E590/100</f>
        <v>0</v>
      </c>
      <c r="K590" s="117">
        <f>10*E590/100</f>
        <v>10</v>
      </c>
      <c r="L590" s="117">
        <f>0*E590/100</f>
        <v>0</v>
      </c>
      <c r="M590" s="117">
        <f>0*E590/100</f>
        <v>0</v>
      </c>
      <c r="N590" s="117">
        <f>23*E590/100</f>
        <v>23</v>
      </c>
      <c r="O590" s="117">
        <f>0*E590/100</f>
        <v>0</v>
      </c>
      <c r="P590" s="117">
        <f>13*E590/100</f>
        <v>13</v>
      </c>
      <c r="Q590" s="117">
        <f>0.3*E590/100</f>
        <v>0.3</v>
      </c>
      <c r="R590" s="29"/>
      <c r="S590" s="29"/>
    </row>
    <row r="591" spans="1:19" ht="15.75" hidden="1" customHeight="1" x14ac:dyDescent="0.25">
      <c r="A591" s="15"/>
      <c r="B591" s="41"/>
      <c r="C591" s="41"/>
      <c r="D591" s="41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29"/>
      <c r="S591" s="29"/>
    </row>
    <row r="592" spans="1:19" ht="15.75" customHeight="1" x14ac:dyDescent="0.25">
      <c r="A592" s="551">
        <v>259</v>
      </c>
      <c r="B592" s="539" t="s">
        <v>131</v>
      </c>
      <c r="C592" s="476"/>
      <c r="D592" s="477"/>
      <c r="E592" s="122">
        <v>120</v>
      </c>
      <c r="F592" s="470">
        <f>27.77*(E592+E593)/(100+200)</f>
        <v>33.324000000000005</v>
      </c>
      <c r="G592" s="470">
        <f>31.01*(E592+E593)/(100+200)</f>
        <v>37.212000000000003</v>
      </c>
      <c r="H592" s="470">
        <f>28.42*(E592+E593)/(100+200)</f>
        <v>34.103999999999999</v>
      </c>
      <c r="I592" s="470">
        <f>505.71*(E592+E593)/(100+200)</f>
        <v>606.85199999999998</v>
      </c>
      <c r="J592" s="470">
        <v>0</v>
      </c>
      <c r="K592" s="470">
        <f>11.58*(E592+E593)/(100+200)</f>
        <v>13.896000000000001</v>
      </c>
      <c r="L592" s="470">
        <v>0</v>
      </c>
      <c r="M592" s="470">
        <v>0</v>
      </c>
      <c r="N592" s="470">
        <f>52.3*(E592+E593)/(100+200)</f>
        <v>62.76</v>
      </c>
      <c r="O592" s="470">
        <v>0</v>
      </c>
      <c r="P592" s="470">
        <f>72.12*(E592+E593)/(100+200)</f>
        <v>86.543999999999997</v>
      </c>
      <c r="Q592" s="470">
        <f>6.6*(E592+E593)/(100+200)</f>
        <v>7.92</v>
      </c>
      <c r="R592" s="67"/>
      <c r="S592" s="29"/>
    </row>
    <row r="593" spans="1:19" ht="15.75" customHeight="1" x14ac:dyDescent="0.25">
      <c r="A593" s="527"/>
      <c r="B593" s="478"/>
      <c r="C593" s="479"/>
      <c r="D593" s="480"/>
      <c r="E593" s="100">
        <f>E592*2</f>
        <v>240</v>
      </c>
      <c r="F593" s="471"/>
      <c r="G593" s="471"/>
      <c r="H593" s="471"/>
      <c r="I593" s="471"/>
      <c r="J593" s="471"/>
      <c r="K593" s="471"/>
      <c r="L593" s="471"/>
      <c r="M593" s="471"/>
      <c r="N593" s="471"/>
      <c r="O593" s="471"/>
      <c r="P593" s="471"/>
      <c r="Q593" s="471"/>
      <c r="R593" s="29"/>
      <c r="S593" s="29"/>
    </row>
    <row r="594" spans="1:19" ht="15.75" customHeight="1" x14ac:dyDescent="0.25">
      <c r="A594" s="15">
        <v>389</v>
      </c>
      <c r="B594" s="439" t="s">
        <v>188</v>
      </c>
      <c r="C594" s="440"/>
      <c r="D594" s="441"/>
      <c r="E594" s="100">
        <v>200</v>
      </c>
      <c r="F594" s="117">
        <v>1</v>
      </c>
      <c r="G594" s="117">
        <v>0</v>
      </c>
      <c r="H594" s="117">
        <v>20.2</v>
      </c>
      <c r="I594" s="117">
        <v>84.8</v>
      </c>
      <c r="J594" s="117">
        <v>0</v>
      </c>
      <c r="K594" s="117">
        <v>4</v>
      </c>
      <c r="L594" s="117">
        <v>0</v>
      </c>
      <c r="M594" s="117">
        <v>0</v>
      </c>
      <c r="N594" s="117">
        <v>14</v>
      </c>
      <c r="O594" s="117">
        <v>0</v>
      </c>
      <c r="P594" s="117">
        <v>8</v>
      </c>
      <c r="Q594" s="117">
        <v>2.8</v>
      </c>
      <c r="R594" s="29"/>
      <c r="S594" s="29"/>
    </row>
    <row r="595" spans="1:19" ht="15.75" customHeight="1" x14ac:dyDescent="0.25">
      <c r="A595" s="15" t="s">
        <v>27</v>
      </c>
      <c r="B595" s="41" t="s">
        <v>39</v>
      </c>
      <c r="C595" s="41"/>
      <c r="D595" s="41"/>
      <c r="E595" s="99">
        <v>75</v>
      </c>
      <c r="F595" s="117">
        <f>4.03*E595/50</f>
        <v>6.0449999999999999</v>
      </c>
      <c r="G595" s="117">
        <f>0.5*E595/50</f>
        <v>0.75</v>
      </c>
      <c r="H595" s="117">
        <f>22.36*E595/50</f>
        <v>33.54</v>
      </c>
      <c r="I595" s="117">
        <f>98.86*E595/50</f>
        <v>148.29</v>
      </c>
      <c r="J595" s="117">
        <v>0</v>
      </c>
      <c r="K595" s="117">
        <v>0</v>
      </c>
      <c r="L595" s="117">
        <v>0</v>
      </c>
      <c r="M595" s="117">
        <v>0</v>
      </c>
      <c r="N595" s="117">
        <f>17.59*E595/50</f>
        <v>26.385000000000002</v>
      </c>
      <c r="O595" s="117">
        <v>0</v>
      </c>
      <c r="P595" s="117">
        <f>1.89*E595/50</f>
        <v>2.835</v>
      </c>
      <c r="Q595" s="117">
        <f>0.88*E595/50</f>
        <v>1.32</v>
      </c>
      <c r="R595" s="17"/>
      <c r="S595" s="17"/>
    </row>
    <row r="596" spans="1:19" ht="15.75" customHeight="1" x14ac:dyDescent="0.25">
      <c r="A596" s="15" t="s">
        <v>27</v>
      </c>
      <c r="B596" s="439" t="s">
        <v>28</v>
      </c>
      <c r="C596" s="440"/>
      <c r="D596" s="441"/>
      <c r="E596" s="99">
        <v>45</v>
      </c>
      <c r="F596" s="117">
        <f>2.26*E596/30</f>
        <v>3.3899999999999997</v>
      </c>
      <c r="G596" s="117">
        <f>0.23*E596/30</f>
        <v>0.34499999999999997</v>
      </c>
      <c r="H596" s="117">
        <f>14.66*E596/30</f>
        <v>21.990000000000002</v>
      </c>
      <c r="I596" s="117">
        <f>68.86*E596/30</f>
        <v>103.28999999999999</v>
      </c>
      <c r="J596" s="117">
        <v>0</v>
      </c>
      <c r="K596" s="117">
        <v>0</v>
      </c>
      <c r="L596" s="117">
        <v>0</v>
      </c>
      <c r="M596" s="117">
        <v>0</v>
      </c>
      <c r="N596" s="117">
        <f>12.97*E596/30</f>
        <v>19.454999999999998</v>
      </c>
      <c r="O596" s="117">
        <v>0</v>
      </c>
      <c r="P596" s="117">
        <f>2.83*E596/30</f>
        <v>4.2450000000000001</v>
      </c>
      <c r="Q596" s="117">
        <f>0.74*E596/30</f>
        <v>1.1099999999999999</v>
      </c>
      <c r="R596" s="17"/>
      <c r="S596" s="17"/>
    </row>
    <row r="597" spans="1:19" ht="15.75" customHeight="1" x14ac:dyDescent="0.25">
      <c r="A597" s="15"/>
      <c r="B597" s="442" t="s">
        <v>72</v>
      </c>
      <c r="C597" s="443"/>
      <c r="D597" s="444"/>
      <c r="E597" s="99">
        <f t="shared" ref="E597:Q597" si="99">SUM(E590:E596)</f>
        <v>780</v>
      </c>
      <c r="F597" s="117">
        <f t="shared" si="99"/>
        <v>44.559000000000005</v>
      </c>
      <c r="G597" s="117">
        <f t="shared" si="99"/>
        <v>38.307000000000002</v>
      </c>
      <c r="H597" s="117">
        <f t="shared" si="99"/>
        <v>113.23400000000001</v>
      </c>
      <c r="I597" s="117">
        <f t="shared" si="99"/>
        <v>960.03199999999981</v>
      </c>
      <c r="J597" s="117">
        <f t="shared" si="99"/>
        <v>0</v>
      </c>
      <c r="K597" s="117">
        <f t="shared" si="99"/>
        <v>27.896000000000001</v>
      </c>
      <c r="L597" s="117">
        <f t="shared" si="99"/>
        <v>0</v>
      </c>
      <c r="M597" s="117">
        <f t="shared" si="99"/>
        <v>0</v>
      </c>
      <c r="N597" s="117">
        <f t="shared" si="99"/>
        <v>145.6</v>
      </c>
      <c r="O597" s="117">
        <f t="shared" si="99"/>
        <v>0</v>
      </c>
      <c r="P597" s="117">
        <f t="shared" si="99"/>
        <v>114.624</v>
      </c>
      <c r="Q597" s="117">
        <f t="shared" si="99"/>
        <v>13.45</v>
      </c>
      <c r="R597" s="29"/>
      <c r="S597" s="29"/>
    </row>
    <row r="598" spans="1:19" ht="15.75" customHeight="1" x14ac:dyDescent="0.25">
      <c r="A598" s="38"/>
      <c r="B598" s="522" t="s">
        <v>149</v>
      </c>
      <c r="C598" s="446"/>
      <c r="D598" s="447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76"/>
      <c r="S598" s="1"/>
    </row>
    <row r="599" spans="1:19" ht="34.5" customHeight="1" x14ac:dyDescent="0.25">
      <c r="A599" s="77">
        <v>386</v>
      </c>
      <c r="B599" s="482" t="s">
        <v>74</v>
      </c>
      <c r="C599" s="440"/>
      <c r="D599" s="441"/>
      <c r="E599" s="164">
        <v>200</v>
      </c>
      <c r="F599" s="165">
        <v>4.32</v>
      </c>
      <c r="G599" s="165">
        <v>2.5</v>
      </c>
      <c r="H599" s="165">
        <v>9.8800000000000008</v>
      </c>
      <c r="I599" s="165">
        <v>84.8</v>
      </c>
      <c r="J599" s="165">
        <v>0</v>
      </c>
      <c r="K599" s="165">
        <v>0</v>
      </c>
      <c r="L599" s="165">
        <v>0</v>
      </c>
      <c r="M599" s="165">
        <v>0</v>
      </c>
      <c r="N599" s="165">
        <v>120.96</v>
      </c>
      <c r="O599" s="165">
        <v>0</v>
      </c>
      <c r="P599" s="165">
        <v>14.11</v>
      </c>
      <c r="Q599" s="165">
        <v>0.1</v>
      </c>
      <c r="R599" s="29"/>
      <c r="S599" s="78"/>
    </row>
    <row r="600" spans="1:19" ht="33" customHeight="1" x14ac:dyDescent="0.25">
      <c r="A600" s="15" t="s">
        <v>27</v>
      </c>
      <c r="B600" s="439" t="s">
        <v>204</v>
      </c>
      <c r="C600" s="440"/>
      <c r="D600" s="441"/>
      <c r="E600" s="102">
        <v>20</v>
      </c>
      <c r="F600" s="102">
        <v>2.82</v>
      </c>
      <c r="G600" s="102">
        <v>3.16</v>
      </c>
      <c r="H600" s="102">
        <v>29.96</v>
      </c>
      <c r="I600" s="102">
        <v>159.18</v>
      </c>
      <c r="J600" s="102">
        <v>0</v>
      </c>
      <c r="K600" s="102">
        <v>0.08</v>
      </c>
      <c r="L600" s="102">
        <v>0</v>
      </c>
      <c r="M600" s="102">
        <v>0</v>
      </c>
      <c r="N600" s="102">
        <v>8.1999999999999993</v>
      </c>
      <c r="O600" s="102">
        <v>0</v>
      </c>
      <c r="P600" s="102">
        <v>11.57</v>
      </c>
      <c r="Q600" s="102">
        <v>0.6</v>
      </c>
      <c r="R600" s="29"/>
      <c r="S600" s="29"/>
    </row>
    <row r="601" spans="1:19" ht="18" customHeight="1" x14ac:dyDescent="0.25">
      <c r="A601" s="15"/>
      <c r="B601" s="442" t="s">
        <v>52</v>
      </c>
      <c r="C601" s="472"/>
      <c r="D601" s="473"/>
      <c r="E601" s="32">
        <f t="shared" ref="E601:Q601" si="100">SUM(E599:E600)</f>
        <v>220</v>
      </c>
      <c r="F601" s="22">
        <f t="shared" si="100"/>
        <v>7.1400000000000006</v>
      </c>
      <c r="G601" s="22">
        <f t="shared" si="100"/>
        <v>5.66</v>
      </c>
      <c r="H601" s="22">
        <f t="shared" si="100"/>
        <v>39.840000000000003</v>
      </c>
      <c r="I601" s="22">
        <f t="shared" si="100"/>
        <v>243.98000000000002</v>
      </c>
      <c r="J601" s="22">
        <f t="shared" si="100"/>
        <v>0</v>
      </c>
      <c r="K601" s="22">
        <f t="shared" si="100"/>
        <v>0.08</v>
      </c>
      <c r="L601" s="22">
        <f t="shared" si="100"/>
        <v>0</v>
      </c>
      <c r="M601" s="22">
        <f t="shared" si="100"/>
        <v>0</v>
      </c>
      <c r="N601" s="22">
        <f t="shared" si="100"/>
        <v>129.16</v>
      </c>
      <c r="O601" s="22">
        <f t="shared" si="100"/>
        <v>0</v>
      </c>
      <c r="P601" s="22">
        <f t="shared" si="100"/>
        <v>25.68</v>
      </c>
      <c r="Q601" s="22">
        <f t="shared" si="100"/>
        <v>0.7</v>
      </c>
      <c r="R601" s="17"/>
      <c r="S601" s="17"/>
    </row>
    <row r="602" spans="1:19" s="85" customFormat="1" ht="18" customHeight="1" x14ac:dyDescent="0.25">
      <c r="A602" s="15"/>
      <c r="B602" s="436" t="s">
        <v>53</v>
      </c>
      <c r="C602" s="437"/>
      <c r="D602" s="438"/>
      <c r="E602" s="91">
        <v>8</v>
      </c>
      <c r="F602" s="144"/>
      <c r="G602" s="144"/>
      <c r="H602" s="144"/>
      <c r="I602" s="144"/>
      <c r="J602" s="144"/>
      <c r="K602" s="144"/>
      <c r="L602" s="144"/>
      <c r="M602" s="144"/>
      <c r="N602" s="144">
        <v>29.44</v>
      </c>
      <c r="O602" s="144"/>
      <c r="P602" s="144">
        <v>1.76</v>
      </c>
      <c r="Q602" s="144">
        <v>0.23</v>
      </c>
      <c r="R602" s="221"/>
      <c r="S602" s="221"/>
    </row>
    <row r="603" spans="1:19" ht="15.75" customHeight="1" x14ac:dyDescent="0.25">
      <c r="A603" s="15"/>
      <c r="B603" s="422" t="s">
        <v>205</v>
      </c>
      <c r="C603" s="423"/>
      <c r="D603" s="424"/>
      <c r="E603" s="27">
        <f t="shared" ref="E603:M603" si="101">SUM(E570,E573,E584,E588,E597,E601)</f>
        <v>3227.02</v>
      </c>
      <c r="F603" s="22">
        <f t="shared" si="101"/>
        <v>130.46115612903225</v>
      </c>
      <c r="G603" s="22">
        <f t="shared" si="101"/>
        <v>124.08239354838712</v>
      </c>
      <c r="H603" s="22">
        <f t="shared" si="101"/>
        <v>467.15892709677416</v>
      </c>
      <c r="I603" s="22">
        <f t="shared" si="101"/>
        <v>3476.7043032258061</v>
      </c>
      <c r="J603" s="22">
        <f t="shared" si="101"/>
        <v>6.8000000000000005E-2</v>
      </c>
      <c r="K603" s="22">
        <f t="shared" si="101"/>
        <v>128.53664838709679</v>
      </c>
      <c r="L603" s="22">
        <f t="shared" si="101"/>
        <v>0</v>
      </c>
      <c r="M603" s="22">
        <f t="shared" si="101"/>
        <v>0</v>
      </c>
      <c r="N603" s="22">
        <f>SUM(N570,N573,N584,N588,N597,N601,N602)</f>
        <v>1301.9832567741935</v>
      </c>
      <c r="O603" s="22">
        <f>SUM(O570,O573,O584,O588,O597,O601)</f>
        <v>47.95</v>
      </c>
      <c r="P603" s="22">
        <f>SUM(P570,P573,P584,P588,P597,P601)</f>
        <v>410.21687161290328</v>
      </c>
      <c r="Q603" s="22">
        <f>SUM(Q570,Q573,Q584,Q588,Q597,Q601)</f>
        <v>43.882071612903232</v>
      </c>
      <c r="R603" s="29"/>
      <c r="S603" s="29"/>
    </row>
    <row r="604" spans="1:19" ht="15.75" customHeight="1" x14ac:dyDescent="0.25">
      <c r="A604" s="4"/>
      <c r="B604" s="43"/>
      <c r="C604" s="43"/>
      <c r="D604" s="43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64"/>
      <c r="S604" s="1"/>
    </row>
    <row r="605" spans="1:19" ht="16.5" customHeight="1" x14ac:dyDescent="0.25">
      <c r="A605" s="523" t="s">
        <v>206</v>
      </c>
      <c r="B605" s="524"/>
      <c r="C605" s="524"/>
      <c r="D605" s="524"/>
      <c r="E605" s="524"/>
      <c r="F605" s="524"/>
      <c r="G605" s="524"/>
      <c r="H605" s="524"/>
      <c r="I605" s="524"/>
      <c r="J605" s="524"/>
      <c r="K605" s="524"/>
      <c r="L605" s="524"/>
      <c r="M605" s="524"/>
      <c r="N605" s="524"/>
      <c r="O605" s="524"/>
      <c r="P605" s="524"/>
      <c r="Q605" s="524"/>
      <c r="R605" s="525"/>
      <c r="S605" s="1"/>
    </row>
    <row r="606" spans="1:19" ht="29.25" customHeight="1" x14ac:dyDescent="0.25">
      <c r="A606" s="526" t="s">
        <v>3</v>
      </c>
      <c r="B606" s="528" t="s">
        <v>4</v>
      </c>
      <c r="C606" s="476"/>
      <c r="D606" s="477"/>
      <c r="E606" s="529" t="s">
        <v>5</v>
      </c>
      <c r="F606" s="530" t="s">
        <v>6</v>
      </c>
      <c r="G606" s="440"/>
      <c r="H606" s="441"/>
      <c r="I606" s="529" t="s">
        <v>7</v>
      </c>
      <c r="J606" s="530" t="s">
        <v>8</v>
      </c>
      <c r="K606" s="440"/>
      <c r="L606" s="440"/>
      <c r="M606" s="441"/>
      <c r="N606" s="530" t="s">
        <v>9</v>
      </c>
      <c r="O606" s="440"/>
      <c r="P606" s="440"/>
      <c r="Q606" s="441"/>
      <c r="R606" s="1"/>
      <c r="S606" s="1"/>
    </row>
    <row r="607" spans="1:19" ht="15.75" customHeight="1" x14ac:dyDescent="0.25">
      <c r="A607" s="527"/>
      <c r="B607" s="478"/>
      <c r="C607" s="479"/>
      <c r="D607" s="480"/>
      <c r="E607" s="527"/>
      <c r="F607" s="33" t="s">
        <v>10</v>
      </c>
      <c r="G607" s="33" t="s">
        <v>11</v>
      </c>
      <c r="H607" s="33" t="s">
        <v>12</v>
      </c>
      <c r="I607" s="527"/>
      <c r="J607" s="34" t="s">
        <v>13</v>
      </c>
      <c r="K607" s="34" t="s">
        <v>14</v>
      </c>
      <c r="L607" s="34" t="s">
        <v>15</v>
      </c>
      <c r="M607" s="35" t="s">
        <v>16</v>
      </c>
      <c r="N607" s="36" t="s">
        <v>17</v>
      </c>
      <c r="O607" s="34" t="s">
        <v>18</v>
      </c>
      <c r="P607" s="34" t="s">
        <v>19</v>
      </c>
      <c r="Q607" s="35" t="s">
        <v>20</v>
      </c>
      <c r="R607" s="1"/>
      <c r="S607" s="1"/>
    </row>
    <row r="608" spans="1:19" ht="15.75" customHeight="1" x14ac:dyDescent="0.25">
      <c r="A608" s="220">
        <v>1</v>
      </c>
      <c r="B608" s="532">
        <v>2</v>
      </c>
      <c r="C608" s="440"/>
      <c r="D608" s="441"/>
      <c r="E608" s="57">
        <v>3</v>
      </c>
      <c r="F608" s="57">
        <v>4</v>
      </c>
      <c r="G608" s="57">
        <v>5</v>
      </c>
      <c r="H608" s="57">
        <v>6</v>
      </c>
      <c r="I608" s="58">
        <v>7</v>
      </c>
      <c r="J608" s="57">
        <v>8</v>
      </c>
      <c r="K608" s="57">
        <v>9</v>
      </c>
      <c r="L608" s="57">
        <v>10</v>
      </c>
      <c r="M608" s="59">
        <v>11</v>
      </c>
      <c r="N608" s="57">
        <v>12</v>
      </c>
      <c r="O608" s="57">
        <v>13</v>
      </c>
      <c r="P608" s="57">
        <v>14</v>
      </c>
      <c r="Q608" s="60">
        <v>15</v>
      </c>
      <c r="R608" s="1"/>
      <c r="S608" s="1"/>
    </row>
    <row r="609" spans="1:19" ht="15.75" customHeight="1" x14ac:dyDescent="0.25">
      <c r="A609" s="201"/>
      <c r="B609" s="522" t="s">
        <v>21</v>
      </c>
      <c r="C609" s="446"/>
      <c r="D609" s="447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"/>
      <c r="S609" s="1"/>
    </row>
    <row r="610" spans="1:19" ht="15.75" customHeight="1" x14ac:dyDescent="0.25">
      <c r="A610" s="106">
        <v>3</v>
      </c>
      <c r="B610" s="439" t="s">
        <v>56</v>
      </c>
      <c r="C610" s="440"/>
      <c r="D610" s="441"/>
      <c r="E610" s="228" t="s">
        <v>23</v>
      </c>
      <c r="F610" s="129">
        <v>5.8</v>
      </c>
      <c r="G610" s="129">
        <v>8.3000000000000007</v>
      </c>
      <c r="H610" s="129">
        <v>14.83</v>
      </c>
      <c r="I610" s="129">
        <v>157</v>
      </c>
      <c r="J610" s="129">
        <v>0.04</v>
      </c>
      <c r="K610" s="129">
        <v>0.04</v>
      </c>
      <c r="L610" s="129">
        <v>0.03</v>
      </c>
      <c r="M610" s="129">
        <v>0.11</v>
      </c>
      <c r="N610" s="129">
        <v>139.19999999999999</v>
      </c>
      <c r="O610" s="129">
        <v>9.4499999999999993</v>
      </c>
      <c r="P610" s="129">
        <v>96</v>
      </c>
      <c r="Q610" s="129">
        <v>0.49</v>
      </c>
      <c r="R610" s="39"/>
      <c r="S610" s="29"/>
    </row>
    <row r="611" spans="1:19" ht="15.75" customHeight="1" x14ac:dyDescent="0.25">
      <c r="A611" s="470">
        <v>174</v>
      </c>
      <c r="B611" s="542" t="s">
        <v>207</v>
      </c>
      <c r="C611" s="476"/>
      <c r="D611" s="477"/>
      <c r="E611" s="106">
        <v>200</v>
      </c>
      <c r="F611" s="470">
        <f>3.09*(E611+E612)/(200+5)</f>
        <v>3.09</v>
      </c>
      <c r="G611" s="470">
        <f>4.07*(E611+E612)/(200+5)</f>
        <v>4.07</v>
      </c>
      <c r="H611" s="470">
        <f>32.09*(E611+E612)/(200+5)</f>
        <v>32.090000000000003</v>
      </c>
      <c r="I611" s="470">
        <f>177*(E611+E612)/(200+5)</f>
        <v>177</v>
      </c>
      <c r="J611" s="470">
        <v>0</v>
      </c>
      <c r="K611" s="470">
        <v>0</v>
      </c>
      <c r="L611" s="470">
        <v>0</v>
      </c>
      <c r="M611" s="470">
        <v>0</v>
      </c>
      <c r="N611" s="470">
        <f>139.2*(E611+E612)/(200+5)</f>
        <v>139.19999999999999</v>
      </c>
      <c r="O611" s="470">
        <v>0</v>
      </c>
      <c r="P611" s="470">
        <f>21.8*(E611+E612)/(200+5)</f>
        <v>21.8</v>
      </c>
      <c r="Q611" s="470">
        <f>0.45*(E611+E612)/(200+5)</f>
        <v>0.45</v>
      </c>
      <c r="R611" s="17"/>
      <c r="S611" s="17"/>
    </row>
    <row r="612" spans="1:19" ht="15.75" customHeight="1" x14ac:dyDescent="0.25">
      <c r="A612" s="471"/>
      <c r="B612" s="478"/>
      <c r="C612" s="479"/>
      <c r="D612" s="480"/>
      <c r="E612" s="106">
        <f>E611*2.5/100</f>
        <v>5</v>
      </c>
      <c r="F612" s="471"/>
      <c r="G612" s="471"/>
      <c r="H612" s="471"/>
      <c r="I612" s="471"/>
      <c r="J612" s="471"/>
      <c r="K612" s="471"/>
      <c r="L612" s="471"/>
      <c r="M612" s="471"/>
      <c r="N612" s="471"/>
      <c r="O612" s="471"/>
      <c r="P612" s="471"/>
      <c r="Q612" s="471"/>
      <c r="R612" s="17"/>
      <c r="S612" s="17"/>
    </row>
    <row r="613" spans="1:19" ht="15.75" customHeight="1" x14ac:dyDescent="0.25">
      <c r="A613" s="106">
        <v>209</v>
      </c>
      <c r="B613" s="736" t="s">
        <v>191</v>
      </c>
      <c r="C613" s="440"/>
      <c r="D613" s="441"/>
      <c r="E613" s="106" t="s">
        <v>202</v>
      </c>
      <c r="F613" s="106">
        <v>5.0999999999999996</v>
      </c>
      <c r="G613" s="106">
        <v>4.5999999999999996</v>
      </c>
      <c r="H613" s="106">
        <v>0.3</v>
      </c>
      <c r="I613" s="106">
        <v>63</v>
      </c>
      <c r="J613" s="106"/>
      <c r="K613" s="106"/>
      <c r="L613" s="106"/>
      <c r="M613" s="106"/>
      <c r="N613" s="106">
        <v>22</v>
      </c>
      <c r="O613" s="106"/>
      <c r="P613" s="106">
        <v>4.8</v>
      </c>
      <c r="Q613" s="106">
        <v>1</v>
      </c>
      <c r="R613" s="79"/>
      <c r="S613" s="79"/>
    </row>
    <row r="614" spans="1:19" ht="15.75" customHeight="1" x14ac:dyDescent="0.25">
      <c r="A614" s="106">
        <v>375</v>
      </c>
      <c r="B614" s="439" t="s">
        <v>111</v>
      </c>
      <c r="C614" s="440"/>
      <c r="D614" s="441"/>
      <c r="E614" s="106" t="s">
        <v>158</v>
      </c>
      <c r="F614" s="106">
        <v>1.52</v>
      </c>
      <c r="G614" s="106">
        <v>1.35</v>
      </c>
      <c r="H614" s="106">
        <v>15.9</v>
      </c>
      <c r="I614" s="106">
        <v>81</v>
      </c>
      <c r="J614" s="106">
        <v>0</v>
      </c>
      <c r="K614" s="106">
        <v>1.33</v>
      </c>
      <c r="L614" s="106">
        <v>0</v>
      </c>
      <c r="M614" s="106">
        <v>0</v>
      </c>
      <c r="N614" s="106">
        <v>126.6</v>
      </c>
      <c r="O614" s="106">
        <v>0</v>
      </c>
      <c r="P614" s="106">
        <v>15.4</v>
      </c>
      <c r="Q614" s="106">
        <v>0.41</v>
      </c>
      <c r="R614" s="29"/>
      <c r="S614" s="29"/>
    </row>
    <row r="615" spans="1:19" ht="15.75" customHeight="1" x14ac:dyDescent="0.25">
      <c r="A615" s="106" t="s">
        <v>27</v>
      </c>
      <c r="B615" s="439" t="s">
        <v>28</v>
      </c>
      <c r="C615" s="440"/>
      <c r="D615" s="441"/>
      <c r="E615" s="99">
        <v>45</v>
      </c>
      <c r="F615" s="117">
        <f>2.26*E615/30</f>
        <v>3.3899999999999997</v>
      </c>
      <c r="G615" s="117">
        <f>0.23*E615/30</f>
        <v>0.34499999999999997</v>
      </c>
      <c r="H615" s="117">
        <f>14.66*E615/30</f>
        <v>21.990000000000002</v>
      </c>
      <c r="I615" s="117">
        <f>68.86*E615/30</f>
        <v>103.28999999999999</v>
      </c>
      <c r="J615" s="117">
        <v>0</v>
      </c>
      <c r="K615" s="117">
        <v>0</v>
      </c>
      <c r="L615" s="117">
        <v>0</v>
      </c>
      <c r="M615" s="117">
        <v>0</v>
      </c>
      <c r="N615" s="117">
        <f>12.97*E615/30</f>
        <v>19.454999999999998</v>
      </c>
      <c r="O615" s="117">
        <v>0</v>
      </c>
      <c r="P615" s="117">
        <f>2.83*E615/30</f>
        <v>4.2450000000000001</v>
      </c>
      <c r="Q615" s="117">
        <f>0.74*E615/30</f>
        <v>1.1099999999999999</v>
      </c>
      <c r="R615" s="17"/>
      <c r="S615" s="17"/>
    </row>
    <row r="616" spans="1:19" ht="15.75" customHeight="1" x14ac:dyDescent="0.25">
      <c r="A616" s="106"/>
      <c r="B616" s="442" t="s">
        <v>29</v>
      </c>
      <c r="C616" s="472"/>
      <c r="D616" s="473"/>
      <c r="E616" s="99">
        <f>SUM(E610:E615)+5+15+30+150+50+15</f>
        <v>515</v>
      </c>
      <c r="F616" s="117">
        <f t="shared" ref="F616:Q616" si="102">SUM(F610:F615)</f>
        <v>18.899999999999999</v>
      </c>
      <c r="G616" s="117">
        <f t="shared" si="102"/>
        <v>18.664999999999999</v>
      </c>
      <c r="H616" s="117">
        <f t="shared" si="102"/>
        <v>85.11</v>
      </c>
      <c r="I616" s="117">
        <f t="shared" si="102"/>
        <v>581.29</v>
      </c>
      <c r="J616" s="117">
        <f t="shared" si="102"/>
        <v>0.04</v>
      </c>
      <c r="K616" s="117">
        <f t="shared" si="102"/>
        <v>1.37</v>
      </c>
      <c r="L616" s="117">
        <f t="shared" si="102"/>
        <v>0.03</v>
      </c>
      <c r="M616" s="117">
        <f t="shared" si="102"/>
        <v>0.11</v>
      </c>
      <c r="N616" s="117">
        <f t="shared" si="102"/>
        <v>446.45499999999998</v>
      </c>
      <c r="O616" s="117">
        <f t="shared" si="102"/>
        <v>9.4499999999999993</v>
      </c>
      <c r="P616" s="117">
        <f t="shared" si="102"/>
        <v>142.245</v>
      </c>
      <c r="Q616" s="117">
        <f t="shared" si="102"/>
        <v>3.46</v>
      </c>
      <c r="R616" s="29"/>
      <c r="S616" s="29"/>
    </row>
    <row r="617" spans="1:19" ht="15.75" customHeight="1" x14ac:dyDescent="0.25">
      <c r="A617" s="201"/>
      <c r="B617" s="522" t="s">
        <v>30</v>
      </c>
      <c r="C617" s="446"/>
      <c r="D617" s="447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"/>
      <c r="S617" s="1"/>
    </row>
    <row r="618" spans="1:19" ht="15.75" customHeight="1" x14ac:dyDescent="0.25">
      <c r="A618" s="106">
        <v>338</v>
      </c>
      <c r="B618" s="439" t="s">
        <v>31</v>
      </c>
      <c r="C618" s="440"/>
      <c r="D618" s="441"/>
      <c r="E618" s="133">
        <v>300</v>
      </c>
      <c r="F618" s="133">
        <v>4.5</v>
      </c>
      <c r="G618" s="134">
        <v>1.5</v>
      </c>
      <c r="H618" s="133">
        <v>27</v>
      </c>
      <c r="I618" s="133">
        <v>285</v>
      </c>
      <c r="J618" s="133">
        <v>0</v>
      </c>
      <c r="K618" s="133">
        <v>30</v>
      </c>
      <c r="L618" s="133">
        <v>0</v>
      </c>
      <c r="M618" s="133">
        <v>0</v>
      </c>
      <c r="N618" s="133">
        <v>24</v>
      </c>
      <c r="O618" s="133">
        <v>0</v>
      </c>
      <c r="P618" s="133">
        <v>126</v>
      </c>
      <c r="Q618" s="133">
        <v>2.1</v>
      </c>
      <c r="R618" s="1"/>
      <c r="S618" s="1"/>
    </row>
    <row r="619" spans="1:19" ht="15.75" customHeight="1" x14ac:dyDescent="0.25">
      <c r="A619" s="123"/>
      <c r="B619" s="422" t="s">
        <v>32</v>
      </c>
      <c r="C619" s="423"/>
      <c r="D619" s="424"/>
      <c r="E619" s="123">
        <f>E618</f>
        <v>300</v>
      </c>
      <c r="F619" s="123">
        <f t="shared" ref="F619:Q619" si="103">SUM(F618)</f>
        <v>4.5</v>
      </c>
      <c r="G619" s="231">
        <f t="shared" si="103"/>
        <v>1.5</v>
      </c>
      <c r="H619" s="123">
        <f t="shared" si="103"/>
        <v>27</v>
      </c>
      <c r="I619" s="123">
        <f t="shared" si="103"/>
        <v>285</v>
      </c>
      <c r="J619" s="123">
        <f t="shared" si="103"/>
        <v>0</v>
      </c>
      <c r="K619" s="123">
        <f t="shared" si="103"/>
        <v>30</v>
      </c>
      <c r="L619" s="123">
        <f t="shared" si="103"/>
        <v>0</v>
      </c>
      <c r="M619" s="123">
        <f t="shared" si="103"/>
        <v>0</v>
      </c>
      <c r="N619" s="123">
        <f t="shared" si="103"/>
        <v>24</v>
      </c>
      <c r="O619" s="123">
        <f t="shared" si="103"/>
        <v>0</v>
      </c>
      <c r="P619" s="123">
        <f t="shared" si="103"/>
        <v>126</v>
      </c>
      <c r="Q619" s="123">
        <f t="shared" si="103"/>
        <v>2.1</v>
      </c>
      <c r="R619" s="1"/>
      <c r="S619" s="1"/>
    </row>
    <row r="620" spans="1:19" ht="16.5" customHeight="1" x14ac:dyDescent="0.25">
      <c r="A620" s="201"/>
      <c r="B620" s="522" t="s">
        <v>33</v>
      </c>
      <c r="C620" s="446"/>
      <c r="D620" s="447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"/>
      <c r="S620" s="1"/>
    </row>
    <row r="621" spans="1:19" ht="15.75" customHeight="1" x14ac:dyDescent="0.25">
      <c r="A621" s="106">
        <v>71</v>
      </c>
      <c r="B621" s="439" t="s">
        <v>183</v>
      </c>
      <c r="C621" s="440"/>
      <c r="D621" s="441"/>
      <c r="E621" s="99">
        <v>100</v>
      </c>
      <c r="F621" s="117">
        <f>0.8*E621/100</f>
        <v>0.8</v>
      </c>
      <c r="G621" s="117">
        <f>0*F621/100</f>
        <v>0</v>
      </c>
      <c r="H621" s="117">
        <f>3.4*E621/100</f>
        <v>3.4</v>
      </c>
      <c r="I621" s="117">
        <f>16.8*E621/100</f>
        <v>16.8</v>
      </c>
      <c r="J621" s="117">
        <f>0*E621/100</f>
        <v>0</v>
      </c>
      <c r="K621" s="117">
        <f>10*E621/100</f>
        <v>10</v>
      </c>
      <c r="L621" s="117">
        <f>0*E621/100</f>
        <v>0</v>
      </c>
      <c r="M621" s="117">
        <f>0*E621/100</f>
        <v>0</v>
      </c>
      <c r="N621" s="117">
        <f>23*E621/100</f>
        <v>23</v>
      </c>
      <c r="O621" s="117">
        <f>0*E621/100</f>
        <v>0</v>
      </c>
      <c r="P621" s="117">
        <f>13*E621/100</f>
        <v>13</v>
      </c>
      <c r="Q621" s="117">
        <f>0.3*E621/100</f>
        <v>0.3</v>
      </c>
      <c r="R621" s="17"/>
      <c r="S621" s="17"/>
    </row>
    <row r="622" spans="1:19" ht="15.75" customHeight="1" x14ac:dyDescent="0.25">
      <c r="A622" s="533">
        <v>82</v>
      </c>
      <c r="B622" s="534" t="s">
        <v>184</v>
      </c>
      <c r="C622" s="476"/>
      <c r="D622" s="477"/>
      <c r="E622" s="135">
        <v>300</v>
      </c>
      <c r="F622" s="512">
        <v>2.61</v>
      </c>
      <c r="G622" s="512">
        <v>5.58</v>
      </c>
      <c r="H622" s="512">
        <v>15.92</v>
      </c>
      <c r="I622" s="512">
        <v>124.34</v>
      </c>
      <c r="J622" s="512">
        <v>6.5000000000000002E-2</v>
      </c>
      <c r="K622" s="512">
        <v>26.72</v>
      </c>
      <c r="L622" s="512">
        <v>0</v>
      </c>
      <c r="M622" s="512">
        <v>0</v>
      </c>
      <c r="N622" s="512">
        <v>47.1</v>
      </c>
      <c r="O622" s="512">
        <v>56.6</v>
      </c>
      <c r="P622" s="512">
        <v>37.74</v>
      </c>
      <c r="Q622" s="512">
        <v>1.52</v>
      </c>
      <c r="R622" s="29"/>
      <c r="S622" s="29"/>
    </row>
    <row r="623" spans="1:19" ht="21" customHeight="1" x14ac:dyDescent="0.25">
      <c r="A623" s="471"/>
      <c r="B623" s="478"/>
      <c r="C623" s="479"/>
      <c r="D623" s="480"/>
      <c r="E623" s="115">
        <f>E622*4/100</f>
        <v>12</v>
      </c>
      <c r="F623" s="471"/>
      <c r="G623" s="471"/>
      <c r="H623" s="471"/>
      <c r="I623" s="471"/>
      <c r="J623" s="471"/>
      <c r="K623" s="471"/>
      <c r="L623" s="471"/>
      <c r="M623" s="471"/>
      <c r="N623" s="471"/>
      <c r="O623" s="471"/>
      <c r="P623" s="471"/>
      <c r="Q623" s="471"/>
      <c r="R623" s="39"/>
      <c r="S623" s="39"/>
    </row>
    <row r="624" spans="1:19" ht="16.5" customHeight="1" x14ac:dyDescent="0.25">
      <c r="A624" s="546">
        <v>265</v>
      </c>
      <c r="B624" s="608" t="s">
        <v>208</v>
      </c>
      <c r="C624" s="609"/>
      <c r="D624" s="610"/>
      <c r="E624" s="161">
        <v>150</v>
      </c>
      <c r="F624" s="560">
        <v>27.45</v>
      </c>
      <c r="G624" s="560">
        <v>26.07</v>
      </c>
      <c r="H624" s="560">
        <v>39.450000000000003</v>
      </c>
      <c r="I624" s="560">
        <v>502</v>
      </c>
      <c r="J624" s="560">
        <v>0.1</v>
      </c>
      <c r="K624" s="560">
        <v>2.06</v>
      </c>
      <c r="L624" s="560">
        <f>0*E624/120</f>
        <v>0</v>
      </c>
      <c r="M624" s="560">
        <f>0*E624/120</f>
        <v>0</v>
      </c>
      <c r="N624" s="560">
        <v>25.09</v>
      </c>
      <c r="O624" s="560">
        <f>0*E624/120</f>
        <v>0</v>
      </c>
      <c r="P624" s="560">
        <v>54.98</v>
      </c>
      <c r="Q624" s="560">
        <f>3.2*E624/120</f>
        <v>4</v>
      </c>
      <c r="R624" s="17"/>
      <c r="S624" s="17"/>
    </row>
    <row r="625" spans="1:19" ht="15.75" customHeight="1" x14ac:dyDescent="0.25">
      <c r="A625" s="471"/>
      <c r="B625" s="611"/>
      <c r="C625" s="612"/>
      <c r="D625" s="613"/>
      <c r="E625" s="169">
        <v>100</v>
      </c>
      <c r="F625" s="471"/>
      <c r="G625" s="471"/>
      <c r="H625" s="471"/>
      <c r="I625" s="471"/>
      <c r="J625" s="471"/>
      <c r="K625" s="471"/>
      <c r="L625" s="471"/>
      <c r="M625" s="471"/>
      <c r="N625" s="471"/>
      <c r="O625" s="471"/>
      <c r="P625" s="471"/>
      <c r="Q625" s="471"/>
      <c r="R625" s="29"/>
      <c r="S625" s="29"/>
    </row>
    <row r="626" spans="1:19" ht="15.75" customHeight="1" x14ac:dyDescent="0.25">
      <c r="A626" s="106">
        <v>389</v>
      </c>
      <c r="B626" s="439" t="s">
        <v>188</v>
      </c>
      <c r="C626" s="440"/>
      <c r="D626" s="441"/>
      <c r="E626" s="100">
        <v>200</v>
      </c>
      <c r="F626" s="117">
        <v>1</v>
      </c>
      <c r="G626" s="117">
        <v>0</v>
      </c>
      <c r="H626" s="117">
        <v>20.2</v>
      </c>
      <c r="I626" s="117">
        <v>84.8</v>
      </c>
      <c r="J626" s="117">
        <v>0</v>
      </c>
      <c r="K626" s="117">
        <v>4</v>
      </c>
      <c r="L626" s="117">
        <v>0</v>
      </c>
      <c r="M626" s="117">
        <v>0</v>
      </c>
      <c r="N626" s="117">
        <v>14</v>
      </c>
      <c r="O626" s="117">
        <v>0</v>
      </c>
      <c r="P626" s="117">
        <v>8</v>
      </c>
      <c r="Q626" s="117">
        <v>2.8</v>
      </c>
      <c r="R626" s="29"/>
      <c r="S626" s="29"/>
    </row>
    <row r="627" spans="1:19" ht="15.75" customHeight="1" x14ac:dyDescent="0.25">
      <c r="A627" s="106" t="s">
        <v>27</v>
      </c>
      <c r="B627" s="41" t="s">
        <v>39</v>
      </c>
      <c r="C627" s="41"/>
      <c r="D627" s="41"/>
      <c r="E627" s="99">
        <v>120</v>
      </c>
      <c r="F627" s="117">
        <f>4.03*E627/50</f>
        <v>9.6720000000000006</v>
      </c>
      <c r="G627" s="117">
        <f>0.5*E627/50</f>
        <v>1.2</v>
      </c>
      <c r="H627" s="117">
        <f>22.36*E627/50</f>
        <v>53.663999999999994</v>
      </c>
      <c r="I627" s="117">
        <f>98.86*E627/50</f>
        <v>237.26400000000001</v>
      </c>
      <c r="J627" s="117">
        <v>0</v>
      </c>
      <c r="K627" s="117">
        <v>0</v>
      </c>
      <c r="L627" s="117">
        <v>0</v>
      </c>
      <c r="M627" s="117">
        <v>0</v>
      </c>
      <c r="N627" s="117">
        <f>17.59*E627/50</f>
        <v>42.216000000000001</v>
      </c>
      <c r="O627" s="117">
        <v>0</v>
      </c>
      <c r="P627" s="117">
        <f>1.89*E627/50</f>
        <v>4.5359999999999996</v>
      </c>
      <c r="Q627" s="117">
        <f>0.88*E627/50</f>
        <v>2.1120000000000001</v>
      </c>
      <c r="R627" s="17"/>
      <c r="S627" s="17"/>
    </row>
    <row r="628" spans="1:19" ht="15.75" customHeight="1" x14ac:dyDescent="0.25">
      <c r="A628" s="106" t="s">
        <v>27</v>
      </c>
      <c r="B628" s="439" t="s">
        <v>28</v>
      </c>
      <c r="C628" s="440"/>
      <c r="D628" s="441"/>
      <c r="E628" s="99">
        <v>45</v>
      </c>
      <c r="F628" s="117">
        <f>2.26*E628/30</f>
        <v>3.3899999999999997</v>
      </c>
      <c r="G628" s="117">
        <f>0.23*E628/30</f>
        <v>0.34499999999999997</v>
      </c>
      <c r="H628" s="117">
        <f>14.66*E628/30</f>
        <v>21.990000000000002</v>
      </c>
      <c r="I628" s="117">
        <f>68.86*E628/30</f>
        <v>103.28999999999999</v>
      </c>
      <c r="J628" s="117">
        <v>0</v>
      </c>
      <c r="K628" s="117">
        <v>0</v>
      </c>
      <c r="L628" s="117">
        <v>0</v>
      </c>
      <c r="M628" s="117">
        <v>0</v>
      </c>
      <c r="N628" s="117">
        <f>12.97*E628/30</f>
        <v>19.454999999999998</v>
      </c>
      <c r="O628" s="117">
        <v>0</v>
      </c>
      <c r="P628" s="117">
        <f>2.83*E628/30</f>
        <v>4.2450000000000001</v>
      </c>
      <c r="Q628" s="117">
        <f>0.74*E628/30</f>
        <v>1.1099999999999999</v>
      </c>
      <c r="R628" s="17"/>
      <c r="S628" s="17"/>
    </row>
    <row r="629" spans="1:19" ht="15.75" customHeight="1" x14ac:dyDescent="0.25">
      <c r="A629" s="106"/>
      <c r="B629" s="442" t="s">
        <v>65</v>
      </c>
      <c r="C629" s="443"/>
      <c r="D629" s="444"/>
      <c r="E629" s="100">
        <f t="shared" ref="E629:Q629" si="104">SUM(E621:E628)</f>
        <v>1027</v>
      </c>
      <c r="F629" s="117">
        <f t="shared" si="104"/>
        <v>44.921999999999997</v>
      </c>
      <c r="G629" s="117">
        <f t="shared" si="104"/>
        <v>33.195</v>
      </c>
      <c r="H629" s="117">
        <f t="shared" si="104"/>
        <v>154.624</v>
      </c>
      <c r="I629" s="117">
        <f t="shared" si="104"/>
        <v>1068.4939999999999</v>
      </c>
      <c r="J629" s="117">
        <f t="shared" si="104"/>
        <v>0.16500000000000001</v>
      </c>
      <c r="K629" s="117">
        <f t="shared" si="104"/>
        <v>42.78</v>
      </c>
      <c r="L629" s="117">
        <f t="shared" si="104"/>
        <v>0</v>
      </c>
      <c r="M629" s="117">
        <f t="shared" si="104"/>
        <v>0</v>
      </c>
      <c r="N629" s="117">
        <f t="shared" si="104"/>
        <v>170.86099999999999</v>
      </c>
      <c r="O629" s="117">
        <f t="shared" si="104"/>
        <v>56.6</v>
      </c>
      <c r="P629" s="117">
        <f t="shared" si="104"/>
        <v>122.501</v>
      </c>
      <c r="Q629" s="117">
        <f t="shared" si="104"/>
        <v>11.842000000000001</v>
      </c>
      <c r="R629" s="29"/>
      <c r="S629" s="29"/>
    </row>
    <row r="630" spans="1:19" ht="15.75" customHeight="1" x14ac:dyDescent="0.25">
      <c r="A630" s="201"/>
      <c r="B630" s="445" t="s">
        <v>41</v>
      </c>
      <c r="C630" s="446"/>
      <c r="D630" s="447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71"/>
      <c r="S630" s="1"/>
    </row>
    <row r="631" spans="1:19" ht="27" customHeight="1" x14ac:dyDescent="0.25">
      <c r="A631" s="106" t="s">
        <v>27</v>
      </c>
      <c r="B631" s="439" t="s">
        <v>130</v>
      </c>
      <c r="C631" s="440"/>
      <c r="D631" s="441"/>
      <c r="E631" s="102">
        <v>20</v>
      </c>
      <c r="F631" s="102">
        <v>1.25</v>
      </c>
      <c r="G631" s="102">
        <v>1.48</v>
      </c>
      <c r="H631" s="102">
        <v>34.89</v>
      </c>
      <c r="I631" s="102">
        <v>160.75</v>
      </c>
      <c r="J631" s="102">
        <v>0</v>
      </c>
      <c r="K631" s="102">
        <v>0.1</v>
      </c>
      <c r="L631" s="102">
        <v>0</v>
      </c>
      <c r="M631" s="102">
        <v>0</v>
      </c>
      <c r="N631" s="102">
        <v>6.8</v>
      </c>
      <c r="O631" s="102">
        <v>0</v>
      </c>
      <c r="P631" s="102">
        <v>4.53</v>
      </c>
      <c r="Q631" s="102">
        <v>0.9</v>
      </c>
      <c r="R631" s="39"/>
      <c r="S631" s="71"/>
    </row>
    <row r="632" spans="1:19" ht="15.75" customHeight="1" x14ac:dyDescent="0.25">
      <c r="A632" s="102">
        <v>382</v>
      </c>
      <c r="B632" s="555" t="s">
        <v>58</v>
      </c>
      <c r="C632" s="440"/>
      <c r="D632" s="441"/>
      <c r="E632" s="102">
        <v>200</v>
      </c>
      <c r="F632" s="196">
        <v>3.76</v>
      </c>
      <c r="G632" s="196">
        <v>3.2</v>
      </c>
      <c r="H632" s="196">
        <v>17.57</v>
      </c>
      <c r="I632" s="196">
        <v>114.12</v>
      </c>
      <c r="J632" s="196">
        <v>0</v>
      </c>
      <c r="K632" s="196">
        <v>1.58</v>
      </c>
      <c r="L632" s="196">
        <v>0</v>
      </c>
      <c r="M632" s="196">
        <v>0</v>
      </c>
      <c r="N632" s="196">
        <v>152.22</v>
      </c>
      <c r="O632" s="196">
        <v>0</v>
      </c>
      <c r="P632" s="196">
        <v>21.34</v>
      </c>
      <c r="Q632" s="196">
        <v>0.47</v>
      </c>
      <c r="R632" s="39"/>
      <c r="S632" s="71"/>
    </row>
    <row r="633" spans="1:19" ht="17.25" customHeight="1" x14ac:dyDescent="0.25">
      <c r="A633" s="106"/>
      <c r="B633" s="442" t="s">
        <v>86</v>
      </c>
      <c r="C633" s="472"/>
      <c r="D633" s="473"/>
      <c r="E633" s="106">
        <f>SUM(E631:E632)</f>
        <v>220</v>
      </c>
      <c r="F633" s="132">
        <f t="shared" ref="F633:J633" si="105">F631+F632</f>
        <v>5.01</v>
      </c>
      <c r="G633" s="132">
        <f t="shared" si="105"/>
        <v>4.68</v>
      </c>
      <c r="H633" s="132">
        <f t="shared" si="105"/>
        <v>52.46</v>
      </c>
      <c r="I633" s="132">
        <f t="shared" si="105"/>
        <v>274.87</v>
      </c>
      <c r="J633" s="132">
        <f t="shared" si="105"/>
        <v>0</v>
      </c>
      <c r="K633" s="132">
        <f t="shared" ref="K633:L633" si="106">SUM(K631:K632)</f>
        <v>1.6800000000000002</v>
      </c>
      <c r="L633" s="132">
        <f t="shared" si="106"/>
        <v>0</v>
      </c>
      <c r="M633" s="132">
        <f t="shared" ref="M633:N633" si="107">M631+M632</f>
        <v>0</v>
      </c>
      <c r="N633" s="132">
        <f t="shared" si="107"/>
        <v>159.02000000000001</v>
      </c>
      <c r="O633" s="132">
        <f t="shared" ref="O633:P633" si="108">SUM(O631:O632)</f>
        <v>0</v>
      </c>
      <c r="P633" s="132">
        <f t="shared" si="108"/>
        <v>25.87</v>
      </c>
      <c r="Q633" s="132">
        <f>Q631+Q632</f>
        <v>1.37</v>
      </c>
      <c r="R633" s="17"/>
      <c r="S633" s="1"/>
    </row>
    <row r="634" spans="1:19" ht="17.25" customHeight="1" x14ac:dyDescent="0.25">
      <c r="A634" s="201"/>
      <c r="B634" s="474" t="s">
        <v>44</v>
      </c>
      <c r="C634" s="446"/>
      <c r="D634" s="447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"/>
      <c r="S634" s="1"/>
    </row>
    <row r="635" spans="1:19" ht="15.75" customHeight="1" x14ac:dyDescent="0.25">
      <c r="A635" s="106">
        <v>71</v>
      </c>
      <c r="B635" s="439" t="s">
        <v>183</v>
      </c>
      <c r="C635" s="440"/>
      <c r="D635" s="441"/>
      <c r="E635" s="99">
        <v>100</v>
      </c>
      <c r="F635" s="117">
        <f>0.8*E635/100</f>
        <v>0.8</v>
      </c>
      <c r="G635" s="117">
        <f>0*F635/100</f>
        <v>0</v>
      </c>
      <c r="H635" s="117">
        <f>3.4*E635/100</f>
        <v>3.4</v>
      </c>
      <c r="I635" s="117">
        <f>16.8*E635/100</f>
        <v>16.8</v>
      </c>
      <c r="J635" s="117">
        <f>0*E635/100</f>
        <v>0</v>
      </c>
      <c r="K635" s="117">
        <f>10*E635/100</f>
        <v>10</v>
      </c>
      <c r="L635" s="117">
        <f>0*E635/100</f>
        <v>0</v>
      </c>
      <c r="M635" s="117">
        <f>0*E635/100</f>
        <v>0</v>
      </c>
      <c r="N635" s="117">
        <f>23*E635/100</f>
        <v>23</v>
      </c>
      <c r="O635" s="117">
        <f>0*E635/100</f>
        <v>0</v>
      </c>
      <c r="P635" s="117">
        <f>13*E635/100</f>
        <v>13</v>
      </c>
      <c r="Q635" s="117">
        <f>0.3*E635/100</f>
        <v>0.3</v>
      </c>
      <c r="R635" s="17"/>
      <c r="S635" s="17"/>
    </row>
    <row r="636" spans="1:19" ht="15.75" customHeight="1" x14ac:dyDescent="0.25">
      <c r="A636" s="470" t="s">
        <v>146</v>
      </c>
      <c r="B636" s="542" t="s">
        <v>147</v>
      </c>
      <c r="C636" s="476"/>
      <c r="D636" s="477"/>
      <c r="E636" s="122">
        <v>100</v>
      </c>
      <c r="F636" s="470">
        <f>15.28*(E636+E637)/(100+50)</f>
        <v>15.28</v>
      </c>
      <c r="G636" s="470">
        <f>12.3*(E636+E637)/(100+50)</f>
        <v>12.3</v>
      </c>
      <c r="H636" s="470">
        <f>15.6*(E636+E637)/(100+50)</f>
        <v>15.6</v>
      </c>
      <c r="I636" s="470">
        <f>234.22*(E636+E637)/(100+50)</f>
        <v>234.22</v>
      </c>
      <c r="J636" s="470">
        <v>0</v>
      </c>
      <c r="K636" s="470">
        <f>2.4*(E636+E637)/(100+50)</f>
        <v>2.4</v>
      </c>
      <c r="L636" s="470">
        <v>0</v>
      </c>
      <c r="M636" s="470">
        <v>0</v>
      </c>
      <c r="N636" s="470">
        <f>19.54*(E636+E637)/(100+50)</f>
        <v>19.54</v>
      </c>
      <c r="O636" s="470">
        <v>0</v>
      </c>
      <c r="P636" s="470">
        <f>48.9*(E636+E637)/(100+50)</f>
        <v>48.9</v>
      </c>
      <c r="Q636" s="470">
        <f>1.02*(E636+E637)/(100+50)</f>
        <v>1.02</v>
      </c>
      <c r="R636" s="17"/>
      <c r="S636" s="17"/>
    </row>
    <row r="637" spans="1:19" ht="15.75" customHeight="1" x14ac:dyDescent="0.25">
      <c r="A637" s="471"/>
      <c r="B637" s="478"/>
      <c r="C637" s="479"/>
      <c r="D637" s="480"/>
      <c r="E637" s="208">
        <f>E636/2</f>
        <v>50</v>
      </c>
      <c r="F637" s="471"/>
      <c r="G637" s="471"/>
      <c r="H637" s="471"/>
      <c r="I637" s="471"/>
      <c r="J637" s="471"/>
      <c r="K637" s="471"/>
      <c r="L637" s="471"/>
      <c r="M637" s="471"/>
      <c r="N637" s="471"/>
      <c r="O637" s="471"/>
      <c r="P637" s="471"/>
      <c r="Q637" s="471"/>
      <c r="R637" s="17"/>
      <c r="S637" s="17"/>
    </row>
    <row r="638" spans="1:19" ht="15.75" customHeight="1" x14ac:dyDescent="0.25">
      <c r="A638" s="126">
        <v>312</v>
      </c>
      <c r="B638" s="439" t="s">
        <v>64</v>
      </c>
      <c r="C638" s="440"/>
      <c r="D638" s="441"/>
      <c r="E638" s="137">
        <v>200</v>
      </c>
      <c r="F638" s="117">
        <v>4.05</v>
      </c>
      <c r="G638" s="117">
        <v>8.31</v>
      </c>
      <c r="H638" s="117">
        <v>31.13</v>
      </c>
      <c r="I638" s="117">
        <v>215.5</v>
      </c>
      <c r="J638" s="117">
        <v>0.2</v>
      </c>
      <c r="K638" s="117">
        <v>33.5</v>
      </c>
      <c r="L638" s="117">
        <v>0</v>
      </c>
      <c r="M638" s="117">
        <f>0*E638/200</f>
        <v>0</v>
      </c>
      <c r="N638" s="117">
        <v>55.78</v>
      </c>
      <c r="O638" s="117">
        <v>125.98</v>
      </c>
      <c r="P638" s="117">
        <v>42.74</v>
      </c>
      <c r="Q638" s="117">
        <v>1.55</v>
      </c>
      <c r="R638" s="29"/>
      <c r="S638" s="29"/>
    </row>
    <row r="639" spans="1:19" ht="15.75" customHeight="1" x14ac:dyDescent="0.25">
      <c r="A639" s="143">
        <v>389</v>
      </c>
      <c r="B639" s="541" t="s">
        <v>188</v>
      </c>
      <c r="C639" s="440"/>
      <c r="D639" s="441"/>
      <c r="E639" s="232">
        <v>200</v>
      </c>
      <c r="F639" s="233">
        <v>1</v>
      </c>
      <c r="G639" s="233">
        <v>0</v>
      </c>
      <c r="H639" s="233">
        <v>20.2</v>
      </c>
      <c r="I639" s="233">
        <v>84.8</v>
      </c>
      <c r="J639" s="233">
        <v>0</v>
      </c>
      <c r="K639" s="233">
        <v>4</v>
      </c>
      <c r="L639" s="233">
        <v>0</v>
      </c>
      <c r="M639" s="233">
        <v>0</v>
      </c>
      <c r="N639" s="233">
        <v>14</v>
      </c>
      <c r="O639" s="233">
        <v>0</v>
      </c>
      <c r="P639" s="233">
        <v>8</v>
      </c>
      <c r="Q639" s="233">
        <v>2.8</v>
      </c>
      <c r="R639" s="29"/>
      <c r="S639" s="73"/>
    </row>
    <row r="640" spans="1:19" ht="15.75" customHeight="1" x14ac:dyDescent="0.25">
      <c r="A640" s="106" t="s">
        <v>27</v>
      </c>
      <c r="B640" s="41" t="s">
        <v>39</v>
      </c>
      <c r="C640" s="41"/>
      <c r="D640" s="41"/>
      <c r="E640" s="99">
        <v>75</v>
      </c>
      <c r="F640" s="117">
        <f>4.03*E640/50</f>
        <v>6.0449999999999999</v>
      </c>
      <c r="G640" s="117">
        <f>0.5*E640/50</f>
        <v>0.75</v>
      </c>
      <c r="H640" s="117">
        <f>22.36*E640/50</f>
        <v>33.54</v>
      </c>
      <c r="I640" s="117">
        <f>98.86*E640/50</f>
        <v>148.29</v>
      </c>
      <c r="J640" s="117">
        <v>0</v>
      </c>
      <c r="K640" s="117">
        <v>0</v>
      </c>
      <c r="L640" s="117">
        <v>0</v>
      </c>
      <c r="M640" s="117">
        <v>0</v>
      </c>
      <c r="N640" s="117">
        <f>17.59*E640/50</f>
        <v>26.385000000000002</v>
      </c>
      <c r="O640" s="117">
        <v>0</v>
      </c>
      <c r="P640" s="117">
        <f>1.89*E640/50</f>
        <v>2.835</v>
      </c>
      <c r="Q640" s="117">
        <f>0.88*E640/50</f>
        <v>1.32</v>
      </c>
      <c r="R640" s="17"/>
      <c r="S640" s="17"/>
    </row>
    <row r="641" spans="1:19" ht="15.75" customHeight="1" x14ac:dyDescent="0.25">
      <c r="A641" s="106" t="s">
        <v>27</v>
      </c>
      <c r="B641" s="439" t="s">
        <v>28</v>
      </c>
      <c r="C641" s="440"/>
      <c r="D641" s="441"/>
      <c r="E641" s="99">
        <v>45</v>
      </c>
      <c r="F641" s="117">
        <f>2.26*E641/30</f>
        <v>3.3899999999999997</v>
      </c>
      <c r="G641" s="117">
        <f>0.23*E641/30</f>
        <v>0.34499999999999997</v>
      </c>
      <c r="H641" s="117">
        <f>14.66*E641/30</f>
        <v>21.990000000000002</v>
      </c>
      <c r="I641" s="117">
        <f>68.86*E641/30</f>
        <v>103.28999999999999</v>
      </c>
      <c r="J641" s="117">
        <v>0</v>
      </c>
      <c r="K641" s="117">
        <v>0</v>
      </c>
      <c r="L641" s="117">
        <v>0</v>
      </c>
      <c r="M641" s="117">
        <v>0</v>
      </c>
      <c r="N641" s="117">
        <f>12.97*E641/30</f>
        <v>19.454999999999998</v>
      </c>
      <c r="O641" s="117">
        <v>0</v>
      </c>
      <c r="P641" s="117">
        <f>2.83*E641/30</f>
        <v>4.2450000000000001</v>
      </c>
      <c r="Q641" s="117">
        <f>0.74*E641/30</f>
        <v>1.1099999999999999</v>
      </c>
      <c r="R641" s="17"/>
      <c r="S641" s="17"/>
    </row>
    <row r="642" spans="1:19" ht="15.75" customHeight="1" x14ac:dyDescent="0.25">
      <c r="A642" s="106"/>
      <c r="B642" s="442" t="s">
        <v>72</v>
      </c>
      <c r="C642" s="443"/>
      <c r="D642" s="444"/>
      <c r="E642" s="100">
        <f t="shared" ref="E642:Q642" si="109">SUM(E635:E641)</f>
        <v>770</v>
      </c>
      <c r="F642" s="117">
        <f t="shared" si="109"/>
        <v>30.564999999999998</v>
      </c>
      <c r="G642" s="117">
        <f t="shared" si="109"/>
        <v>21.704999999999998</v>
      </c>
      <c r="H642" s="117">
        <f t="shared" si="109"/>
        <v>125.86000000000001</v>
      </c>
      <c r="I642" s="117">
        <f t="shared" si="109"/>
        <v>802.89999999999986</v>
      </c>
      <c r="J642" s="117">
        <f t="shared" si="109"/>
        <v>0.2</v>
      </c>
      <c r="K642" s="117">
        <f t="shared" si="109"/>
        <v>49.9</v>
      </c>
      <c r="L642" s="117">
        <f t="shared" si="109"/>
        <v>0</v>
      </c>
      <c r="M642" s="117">
        <f t="shared" si="109"/>
        <v>0</v>
      </c>
      <c r="N642" s="117">
        <f t="shared" si="109"/>
        <v>158.15999999999997</v>
      </c>
      <c r="O642" s="117">
        <f t="shared" si="109"/>
        <v>125.98</v>
      </c>
      <c r="P642" s="117">
        <f t="shared" si="109"/>
        <v>119.72</v>
      </c>
      <c r="Q642" s="117">
        <f t="shared" si="109"/>
        <v>8.1</v>
      </c>
      <c r="R642" s="29"/>
      <c r="S642" s="29"/>
    </row>
    <row r="643" spans="1:19" ht="15.75" customHeight="1" x14ac:dyDescent="0.25">
      <c r="A643" s="201"/>
      <c r="B643" s="474" t="s">
        <v>209</v>
      </c>
      <c r="C643" s="446"/>
      <c r="D643" s="447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"/>
      <c r="S643" s="1"/>
    </row>
    <row r="644" spans="1:19" ht="15.75" customHeight="1" x14ac:dyDescent="0.25">
      <c r="A644" s="106" t="s">
        <v>27</v>
      </c>
      <c r="B644" s="439" t="s">
        <v>210</v>
      </c>
      <c r="C644" s="440"/>
      <c r="D644" s="441"/>
      <c r="E644" s="102">
        <v>20</v>
      </c>
      <c r="F644" s="102">
        <v>2.82</v>
      </c>
      <c r="G644" s="102">
        <v>3.16</v>
      </c>
      <c r="H644" s="102">
        <v>29.96</v>
      </c>
      <c r="I644" s="102">
        <v>159.18</v>
      </c>
      <c r="J644" s="102">
        <v>0</v>
      </c>
      <c r="K644" s="102">
        <v>0.08</v>
      </c>
      <c r="L644" s="102">
        <v>0</v>
      </c>
      <c r="M644" s="102">
        <v>0</v>
      </c>
      <c r="N644" s="102">
        <v>8.1999999999999993</v>
      </c>
      <c r="O644" s="102">
        <v>0</v>
      </c>
      <c r="P644" s="102">
        <v>11.57</v>
      </c>
      <c r="Q644" s="102">
        <v>0.6</v>
      </c>
      <c r="R644" s="29"/>
      <c r="S644" s="29"/>
    </row>
    <row r="645" spans="1:19" ht="15.75" customHeight="1" x14ac:dyDescent="0.25">
      <c r="A645" s="235">
        <v>386</v>
      </c>
      <c r="B645" s="607" t="s">
        <v>120</v>
      </c>
      <c r="C645" s="563"/>
      <c r="D645" s="564"/>
      <c r="E645" s="157">
        <v>180</v>
      </c>
      <c r="F645" s="194">
        <v>6.5</v>
      </c>
      <c r="G645" s="194">
        <v>6.4</v>
      </c>
      <c r="H645" s="194">
        <v>8.1999999999999993</v>
      </c>
      <c r="I645" s="194">
        <v>101.58</v>
      </c>
      <c r="J645" s="194">
        <v>0</v>
      </c>
      <c r="K645" s="194">
        <v>1.4</v>
      </c>
      <c r="L645" s="194">
        <v>0</v>
      </c>
      <c r="M645" s="194">
        <v>0</v>
      </c>
      <c r="N645" s="194">
        <v>240</v>
      </c>
      <c r="O645" s="194">
        <v>0</v>
      </c>
      <c r="P645" s="194">
        <v>28</v>
      </c>
      <c r="Q645" s="194">
        <v>0.2</v>
      </c>
      <c r="R645" s="29"/>
      <c r="S645" s="29"/>
    </row>
    <row r="646" spans="1:19" ht="18.75" customHeight="1" x14ac:dyDescent="0.25">
      <c r="A646" s="237"/>
      <c r="B646" s="604" t="s">
        <v>211</v>
      </c>
      <c r="C646" s="605"/>
      <c r="D646" s="605"/>
      <c r="E646" s="238">
        <f>SUM(E644:E645)</f>
        <v>200</v>
      </c>
      <c r="F646" s="104">
        <f t="shared" ref="F646:M646" si="110">F644+F645</f>
        <v>9.32</v>
      </c>
      <c r="G646" s="104">
        <f t="shared" si="110"/>
        <v>9.56</v>
      </c>
      <c r="H646" s="104">
        <f t="shared" si="110"/>
        <v>38.159999999999997</v>
      </c>
      <c r="I646" s="104">
        <f t="shared" si="110"/>
        <v>260.76</v>
      </c>
      <c r="J646" s="104">
        <f t="shared" si="110"/>
        <v>0</v>
      </c>
      <c r="K646" s="104">
        <f t="shared" si="110"/>
        <v>1.48</v>
      </c>
      <c r="L646" s="104">
        <f t="shared" si="110"/>
        <v>0</v>
      </c>
      <c r="M646" s="104">
        <f t="shared" si="110"/>
        <v>0</v>
      </c>
      <c r="N646" s="104">
        <f>SUM(N644:N645)</f>
        <v>248.2</v>
      </c>
      <c r="O646" s="104">
        <f>SUM(O644:O645)</f>
        <v>0</v>
      </c>
      <c r="P646" s="104">
        <f>SUM(P644:P645)</f>
        <v>39.57</v>
      </c>
      <c r="Q646" s="104">
        <f>Q644+Q645</f>
        <v>0.8</v>
      </c>
      <c r="R646" s="29"/>
      <c r="S646" s="29"/>
    </row>
    <row r="647" spans="1:19" s="85" customFormat="1" ht="18.75" customHeight="1" x14ac:dyDescent="0.25">
      <c r="A647" s="74"/>
      <c r="B647" s="436" t="s">
        <v>53</v>
      </c>
      <c r="C647" s="437"/>
      <c r="D647" s="438"/>
      <c r="E647" s="91">
        <v>8</v>
      </c>
      <c r="F647" s="144"/>
      <c r="G647" s="144"/>
      <c r="H647" s="144"/>
      <c r="I647" s="144"/>
      <c r="J647" s="144"/>
      <c r="K647" s="144"/>
      <c r="L647" s="144"/>
      <c r="M647" s="144"/>
      <c r="N647" s="144">
        <v>29.44</v>
      </c>
      <c r="O647" s="144"/>
      <c r="P647" s="144">
        <v>1.76</v>
      </c>
      <c r="Q647" s="144">
        <v>0.23</v>
      </c>
      <c r="R647" s="29"/>
      <c r="S647" s="29"/>
    </row>
    <row r="648" spans="1:19" ht="18.75" customHeight="1" x14ac:dyDescent="0.25">
      <c r="A648" s="106"/>
      <c r="B648" s="422" t="s">
        <v>212</v>
      </c>
      <c r="C648" s="423"/>
      <c r="D648" s="424"/>
      <c r="E648" s="93">
        <f t="shared" ref="E648:M648" si="111">SUM(E616,E619,E629,E633,E642,E646)</f>
        <v>3032</v>
      </c>
      <c r="F648" s="22">
        <f t="shared" si="111"/>
        <v>113.21700000000001</v>
      </c>
      <c r="G648" s="22">
        <f t="shared" si="111"/>
        <v>89.305000000000007</v>
      </c>
      <c r="H648" s="22">
        <f t="shared" si="111"/>
        <v>483.21399999999994</v>
      </c>
      <c r="I648" s="167">
        <f t="shared" si="111"/>
        <v>3273.3140000000003</v>
      </c>
      <c r="J648" s="22">
        <f t="shared" si="111"/>
        <v>0.40500000000000003</v>
      </c>
      <c r="K648" s="22">
        <f t="shared" si="111"/>
        <v>127.21000000000002</v>
      </c>
      <c r="L648" s="22">
        <f t="shared" si="111"/>
        <v>0.03</v>
      </c>
      <c r="M648" s="22">
        <f t="shared" si="111"/>
        <v>0.11</v>
      </c>
      <c r="N648" s="22">
        <f>SUM(N616,N619,N629,N633,N642,N646,N647)</f>
        <v>1236.136</v>
      </c>
      <c r="O648" s="22">
        <f>SUM(O616,O619,O629,O633,O642,O646)</f>
        <v>192.03</v>
      </c>
      <c r="P648" s="22">
        <f>SUM(P616,P619,P629,P633,P642,P646)</f>
        <v>575.90600000000006</v>
      </c>
      <c r="Q648" s="31">
        <f>SUM(Q616,Q619,Q629,Q633,Q642,Q646)</f>
        <v>27.672000000000001</v>
      </c>
      <c r="R648" s="29"/>
      <c r="S648" s="29"/>
    </row>
    <row r="649" spans="1:19" ht="15.75" customHeight="1" x14ac:dyDescent="0.25">
      <c r="A649" s="106"/>
      <c r="B649" s="606" t="s">
        <v>213</v>
      </c>
      <c r="C649" s="472"/>
      <c r="D649" s="473"/>
      <c r="E649" s="168">
        <f t="shared" ref="E649:Q649" si="112">SUM(E376,E419,E466,E511,E557,E603,E648)</f>
        <v>22976.9192</v>
      </c>
      <c r="F649" s="22">
        <f>SUM(F376,F419,F466,F511,F557,F603,F648)</f>
        <v>989.47855360675044</v>
      </c>
      <c r="G649" s="81">
        <f t="shared" si="112"/>
        <v>875.34383960721061</v>
      </c>
      <c r="H649" s="166">
        <f t="shared" si="112"/>
        <v>3452.2960401752057</v>
      </c>
      <c r="I649" s="104">
        <f t="shared" si="112"/>
        <v>26261.272599322059</v>
      </c>
      <c r="J649" s="82">
        <f t="shared" si="112"/>
        <v>1.9096000000000002</v>
      </c>
      <c r="K649" s="22">
        <f t="shared" si="112"/>
        <v>806.87449009832676</v>
      </c>
      <c r="L649" s="22">
        <f t="shared" si="112"/>
        <v>2.6500000000000004</v>
      </c>
      <c r="M649" s="22">
        <f t="shared" si="112"/>
        <v>59.53</v>
      </c>
      <c r="N649" s="22">
        <f t="shared" si="112"/>
        <v>9641.5057719560118</v>
      </c>
      <c r="O649" s="42">
        <f t="shared" si="112"/>
        <v>1270</v>
      </c>
      <c r="P649" s="22">
        <f t="shared" si="112"/>
        <v>3983.4821224150423</v>
      </c>
      <c r="Q649" s="31">
        <f t="shared" si="112"/>
        <v>279.52825466103161</v>
      </c>
      <c r="R649" s="17"/>
      <c r="S649" s="17"/>
    </row>
    <row r="650" spans="1:19" ht="15.75" customHeight="1" x14ac:dyDescent="0.25">
      <c r="A650" s="106"/>
      <c r="B650" s="606" t="s">
        <v>214</v>
      </c>
      <c r="C650" s="472"/>
      <c r="D650" s="473"/>
      <c r="E650" s="168">
        <f t="shared" ref="E650:Q650" si="113">SUM(E331,E649)</f>
        <v>46467.138800000001</v>
      </c>
      <c r="F650" s="80">
        <f>SUM(F331,F649)</f>
        <v>1962.9575284278437</v>
      </c>
      <c r="G650" s="81">
        <f t="shared" si="113"/>
        <v>1718.9924689561708</v>
      </c>
      <c r="H650" s="166">
        <f t="shared" si="113"/>
        <v>7099.112616249894</v>
      </c>
      <c r="I650" s="104">
        <f t="shared" si="113"/>
        <v>52443.633206990271</v>
      </c>
      <c r="J650" s="82">
        <f t="shared" si="113"/>
        <v>28.791600000000003</v>
      </c>
      <c r="K650" s="22">
        <f t="shared" si="113"/>
        <v>1604.0214420674295</v>
      </c>
      <c r="L650" s="22">
        <f t="shared" si="113"/>
        <v>30.366</v>
      </c>
      <c r="M650" s="22">
        <f t="shared" si="113"/>
        <v>159.19999999999999</v>
      </c>
      <c r="N650" s="22">
        <f t="shared" si="113"/>
        <v>18739.286680924699</v>
      </c>
      <c r="O650" s="42">
        <f t="shared" si="113"/>
        <v>2687.9360000000001</v>
      </c>
      <c r="P650" s="22">
        <f t="shared" si="113"/>
        <v>8519.0149478104086</v>
      </c>
      <c r="Q650" s="22">
        <f t="shared" si="113"/>
        <v>556.28452338652187</v>
      </c>
      <c r="R650" s="29"/>
      <c r="S650" s="29"/>
    </row>
    <row r="651" spans="1:19" ht="15.75" customHeight="1" x14ac:dyDescent="0.25">
      <c r="A651" s="200"/>
      <c r="B651" s="442" t="s">
        <v>215</v>
      </c>
      <c r="C651" s="472"/>
      <c r="D651" s="473"/>
      <c r="E651" s="93">
        <f t="shared" ref="E651:Q651" si="114">E650/14</f>
        <v>3319.0813428571428</v>
      </c>
      <c r="F651" s="30">
        <f t="shared" si="114"/>
        <v>140.21125203056027</v>
      </c>
      <c r="G651" s="22">
        <f t="shared" si="114"/>
        <v>122.78517635401219</v>
      </c>
      <c r="H651" s="30">
        <f t="shared" si="114"/>
        <v>507.07947258927817</v>
      </c>
      <c r="I651" s="104">
        <f t="shared" si="114"/>
        <v>3745.9738004993051</v>
      </c>
      <c r="J651" s="31">
        <f t="shared" si="114"/>
        <v>2.0565428571428575</v>
      </c>
      <c r="K651" s="22">
        <f t="shared" si="114"/>
        <v>114.57296014767353</v>
      </c>
      <c r="L651" s="22">
        <f t="shared" si="114"/>
        <v>2.169</v>
      </c>
      <c r="M651" s="22">
        <f t="shared" si="114"/>
        <v>11.37142857142857</v>
      </c>
      <c r="N651" s="22">
        <f t="shared" si="114"/>
        <v>1338.5204772089071</v>
      </c>
      <c r="O651" s="22">
        <f t="shared" si="114"/>
        <v>191.99542857142859</v>
      </c>
      <c r="P651" s="22">
        <f t="shared" si="114"/>
        <v>608.50106770074342</v>
      </c>
      <c r="Q651" s="22">
        <f t="shared" si="114"/>
        <v>39.734608813322993</v>
      </c>
      <c r="R651" s="29"/>
      <c r="S651" s="29"/>
    </row>
    <row r="652" spans="1:19" ht="10.5" customHeight="1" x14ac:dyDescent="0.25">
      <c r="A652" s="2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</row>
    <row r="653" spans="1:19" ht="15.75" customHeight="1" x14ac:dyDescent="0.25">
      <c r="A653" s="2"/>
      <c r="B653" s="83" t="s">
        <v>216</v>
      </c>
      <c r="C653" s="83"/>
      <c r="D653" s="83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1"/>
      <c r="S653" s="1"/>
    </row>
    <row r="654" spans="1:19" ht="15.75" customHeight="1" x14ac:dyDescent="0.25">
      <c r="A654" s="2"/>
      <c r="B654" s="83"/>
      <c r="C654" s="83"/>
      <c r="D654" s="83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1"/>
      <c r="S654" s="1"/>
    </row>
    <row r="655" spans="1:19" ht="15.75" customHeight="1" x14ac:dyDescent="0.25">
      <c r="A655" s="2"/>
      <c r="B655" s="83"/>
      <c r="C655" s="83"/>
      <c r="D655" s="83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1"/>
      <c r="S655" s="1"/>
    </row>
    <row r="656" spans="1:19" ht="15.75" customHeight="1" x14ac:dyDescent="0.25">
      <c r="A656" s="2"/>
      <c r="B656" s="83"/>
      <c r="C656" s="83"/>
      <c r="D656" s="83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1"/>
      <c r="S656" s="1"/>
    </row>
    <row r="657" spans="1:19" ht="15.75" customHeight="1" x14ac:dyDescent="0.25">
      <c r="A657" s="2"/>
      <c r="B657" s="83"/>
      <c r="C657" s="83"/>
      <c r="D657" s="83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1"/>
      <c r="S657" s="1"/>
    </row>
    <row r="658" spans="1:19" ht="21" customHeight="1" x14ac:dyDescent="0.25">
      <c r="A658" s="2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</row>
    <row r="659" spans="1:19" ht="15.75" customHeight="1" x14ac:dyDescent="0.25">
      <c r="A659" s="2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</row>
    <row r="660" spans="1:19" ht="15.75" customHeight="1" x14ac:dyDescent="0.25">
      <c r="A660" s="2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</row>
    <row r="661" spans="1:19" ht="12.75" customHeight="1" x14ac:dyDescent="0.25">
      <c r="A661" s="2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</row>
    <row r="662" spans="1:19" ht="14.25" customHeight="1" x14ac:dyDescent="0.25">
      <c r="A662" s="2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</row>
    <row r="663" spans="1:19" ht="15.75" customHeight="1" x14ac:dyDescent="0.25">
      <c r="A663" s="2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</row>
    <row r="664" spans="1:19" ht="15.75" customHeight="1" x14ac:dyDescent="0.25">
      <c r="A664" s="2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</row>
    <row r="665" spans="1:19" ht="15.75" customHeight="1" x14ac:dyDescent="0.25">
      <c r="A665" s="2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</row>
    <row r="666" spans="1:19" ht="13.5" customHeight="1" x14ac:dyDescent="0.25">
      <c r="A666" s="2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</row>
    <row r="667" spans="1:19" ht="15.75" hidden="1" customHeight="1" x14ac:dyDescent="0.25">
      <c r="A667" s="2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</row>
    <row r="668" spans="1:19" ht="15.75" hidden="1" customHeight="1" x14ac:dyDescent="0.25">
      <c r="A668" s="2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</row>
    <row r="669" spans="1:19" ht="15.75" hidden="1" customHeight="1" x14ac:dyDescent="0.25">
      <c r="A669" s="2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</row>
    <row r="670" spans="1:19" ht="15.75" hidden="1" customHeight="1" x14ac:dyDescent="0.25">
      <c r="A670" s="2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</row>
    <row r="671" spans="1:19" ht="15.75" customHeight="1" x14ac:dyDescent="0.25">
      <c r="A671" s="2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</row>
    <row r="672" spans="1:19" ht="15.75" customHeight="1" x14ac:dyDescent="0.25">
      <c r="A672" s="2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</row>
    <row r="673" spans="1:19" ht="27.75" customHeight="1" x14ac:dyDescent="0.25">
      <c r="A673" s="2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</row>
    <row r="674" spans="1:19" ht="14.25" customHeight="1" x14ac:dyDescent="0.25">
      <c r="A674" s="2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45"/>
      <c r="S674" s="1"/>
    </row>
    <row r="675" spans="1:19" ht="15.75" customHeight="1" x14ac:dyDescent="0.25">
      <c r="A675" s="2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</row>
    <row r="676" spans="1:19" ht="15.75" customHeight="1" x14ac:dyDescent="0.25">
      <c r="A676" s="2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</row>
    <row r="677" spans="1:19" ht="15.75" customHeight="1" x14ac:dyDescent="0.25">
      <c r="A677" s="2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83"/>
      <c r="S677" s="1"/>
    </row>
    <row r="678" spans="1:19" ht="15.75" customHeight="1" x14ac:dyDescent="0.25">
      <c r="A678" s="2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83"/>
      <c r="S678" s="1"/>
    </row>
    <row r="679" spans="1:19" ht="15.75" customHeight="1" x14ac:dyDescent="0.25">
      <c r="A679" s="2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83"/>
      <c r="S679" s="1"/>
    </row>
    <row r="680" spans="1:19" ht="15.75" customHeight="1" x14ac:dyDescent="0.25">
      <c r="A680" s="2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83"/>
      <c r="S680" s="1"/>
    </row>
    <row r="681" spans="1:19" ht="15.75" customHeight="1" x14ac:dyDescent="0.25">
      <c r="A681" s="2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83"/>
      <c r="S681" s="1"/>
    </row>
    <row r="682" spans="1:19" ht="15.75" customHeight="1" x14ac:dyDescent="0.25">
      <c r="A682" s="2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83"/>
      <c r="S682" s="1"/>
    </row>
    <row r="683" spans="1:19" ht="15.75" customHeight="1" x14ac:dyDescent="0.25">
      <c r="A683" s="2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83"/>
      <c r="S683" s="1"/>
    </row>
    <row r="684" spans="1:19" ht="15.75" customHeight="1" x14ac:dyDescent="0.25">
      <c r="A684" s="2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83"/>
      <c r="S684" s="1"/>
    </row>
    <row r="685" spans="1:19" ht="15.75" customHeight="1" x14ac:dyDescent="0.25">
      <c r="A685" s="2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83"/>
      <c r="S685" s="1"/>
    </row>
    <row r="686" spans="1:19" ht="15.75" customHeight="1" x14ac:dyDescent="0.25">
      <c r="A686" s="2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83"/>
      <c r="S686" s="1"/>
    </row>
    <row r="687" spans="1:19" ht="15.75" customHeight="1" x14ac:dyDescent="0.25">
      <c r="A687" s="2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83"/>
      <c r="S687" s="1"/>
    </row>
    <row r="688" spans="1:19" ht="15.75" customHeight="1" x14ac:dyDescent="0.25">
      <c r="A688" s="2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83"/>
      <c r="S688" s="1"/>
    </row>
    <row r="689" spans="1:19" ht="15.75" customHeight="1" x14ac:dyDescent="0.25">
      <c r="A689" s="2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</row>
    <row r="690" spans="1:19" ht="15.75" customHeight="1" x14ac:dyDescent="0.25">
      <c r="A690" s="2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</row>
    <row r="691" spans="1:19" ht="15.75" customHeight="1" x14ac:dyDescent="0.25">
      <c r="A691" s="2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</row>
    <row r="692" spans="1:19" ht="15.75" customHeight="1" x14ac:dyDescent="0.25">
      <c r="A692" s="2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</row>
    <row r="693" spans="1:19" ht="15.75" customHeight="1" x14ac:dyDescent="0.25">
      <c r="A693" s="2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</row>
    <row r="694" spans="1:19" ht="15.75" customHeight="1" x14ac:dyDescent="0.25">
      <c r="A694" s="2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</row>
    <row r="695" spans="1:19" ht="15.75" customHeight="1" x14ac:dyDescent="0.25">
      <c r="A695" s="2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</row>
    <row r="696" spans="1:19" ht="15.75" customHeight="1" x14ac:dyDescent="0.25">
      <c r="A696" s="2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</row>
    <row r="697" spans="1:19" ht="15.75" customHeight="1" x14ac:dyDescent="0.25">
      <c r="A697" s="2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</row>
    <row r="698" spans="1:19" ht="15.75" customHeight="1" x14ac:dyDescent="0.25">
      <c r="A698" s="2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</row>
    <row r="699" spans="1:19" ht="15.75" customHeight="1" x14ac:dyDescent="0.25">
      <c r="A699" s="2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</row>
    <row r="700" spans="1:19" ht="15.75" customHeight="1" x14ac:dyDescent="0.25">
      <c r="A700" s="2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</row>
    <row r="701" spans="1:19" ht="15.75" customHeight="1" x14ac:dyDescent="0.25">
      <c r="A701" s="2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</row>
    <row r="702" spans="1:19" ht="15.75" customHeight="1" x14ac:dyDescent="0.25">
      <c r="A702" s="2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</row>
    <row r="703" spans="1:19" ht="15.75" customHeight="1" x14ac:dyDescent="0.25">
      <c r="A703" s="2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</row>
    <row r="704" spans="1:19" ht="15.75" customHeight="1" x14ac:dyDescent="0.25">
      <c r="A704" s="2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</row>
    <row r="705" spans="1:19" ht="15.75" customHeight="1" x14ac:dyDescent="0.25">
      <c r="A705" s="2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</row>
    <row r="706" spans="1:19" ht="15.75" customHeight="1" x14ac:dyDescent="0.25">
      <c r="A706" s="2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</row>
    <row r="707" spans="1:19" ht="15.75" customHeight="1" x14ac:dyDescent="0.25">
      <c r="A707" s="2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</row>
    <row r="708" spans="1:19" ht="15.75" customHeight="1" x14ac:dyDescent="0.25">
      <c r="A708" s="2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</row>
    <row r="709" spans="1:19" ht="15.75" customHeight="1" x14ac:dyDescent="0.25">
      <c r="A709" s="2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</row>
    <row r="710" spans="1:19" ht="15.75" customHeight="1" x14ac:dyDescent="0.25">
      <c r="A710" s="2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</row>
    <row r="711" spans="1:19" ht="15.75" customHeight="1" x14ac:dyDescent="0.25">
      <c r="A711" s="2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</row>
    <row r="712" spans="1:19" ht="15.75" customHeight="1" x14ac:dyDescent="0.25">
      <c r="A712" s="2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</row>
    <row r="713" spans="1:19" ht="15.75" customHeight="1" x14ac:dyDescent="0.25">
      <c r="A713" s="2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</row>
    <row r="714" spans="1:19" ht="15.75" customHeight="1" x14ac:dyDescent="0.25">
      <c r="A714" s="2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</row>
    <row r="715" spans="1:19" ht="15.75" customHeight="1" x14ac:dyDescent="0.25">
      <c r="A715" s="2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</row>
    <row r="716" spans="1:19" ht="15.75" customHeight="1" x14ac:dyDescent="0.25">
      <c r="A716" s="2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</row>
    <row r="717" spans="1:19" ht="15.75" customHeight="1" x14ac:dyDescent="0.25">
      <c r="A717" s="2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</row>
    <row r="718" spans="1:19" ht="15.75" customHeight="1" x14ac:dyDescent="0.25">
      <c r="A718" s="2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</row>
    <row r="719" spans="1:19" ht="15.75" customHeight="1" x14ac:dyDescent="0.25">
      <c r="A719" s="2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</row>
    <row r="720" spans="1:19" ht="15.75" customHeight="1" x14ac:dyDescent="0.25">
      <c r="A720" s="2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</row>
    <row r="721" spans="1:19" ht="15.75" customHeight="1" x14ac:dyDescent="0.25">
      <c r="A721" s="2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</row>
    <row r="722" spans="1:19" ht="15.75" customHeight="1" x14ac:dyDescent="0.25">
      <c r="A722" s="2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</row>
    <row r="723" spans="1:19" ht="15.75" customHeight="1" x14ac:dyDescent="0.25">
      <c r="A723" s="2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</row>
    <row r="724" spans="1:19" ht="15.75" customHeight="1" x14ac:dyDescent="0.25">
      <c r="A724" s="2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</row>
    <row r="725" spans="1:19" ht="15.75" customHeight="1" x14ac:dyDescent="0.25">
      <c r="A725" s="2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</row>
    <row r="726" spans="1:19" ht="15.75" customHeight="1" x14ac:dyDescent="0.25">
      <c r="A726" s="2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</row>
    <row r="727" spans="1:19" ht="15.75" customHeight="1" x14ac:dyDescent="0.25">
      <c r="A727" s="2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</row>
    <row r="728" spans="1:19" ht="15.75" customHeight="1" x14ac:dyDescent="0.25">
      <c r="A728" s="2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</row>
    <row r="729" spans="1:19" ht="15.75" customHeight="1" x14ac:dyDescent="0.25">
      <c r="A729" s="2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</row>
    <row r="730" spans="1:19" ht="15.75" customHeight="1" x14ac:dyDescent="0.25">
      <c r="A730" s="2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</row>
    <row r="731" spans="1:19" ht="15.75" customHeight="1" x14ac:dyDescent="0.25">
      <c r="A731" s="2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</row>
    <row r="732" spans="1:19" ht="15.75" customHeight="1" x14ac:dyDescent="0.25">
      <c r="A732" s="2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</row>
    <row r="733" spans="1:19" ht="15.75" customHeight="1" x14ac:dyDescent="0.25">
      <c r="A733" s="2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</row>
    <row r="734" spans="1:19" ht="15.75" customHeight="1" x14ac:dyDescent="0.25">
      <c r="A734" s="2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</row>
    <row r="735" spans="1:19" ht="15.75" customHeight="1" x14ac:dyDescent="0.25">
      <c r="A735" s="2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</row>
    <row r="736" spans="1:19" ht="15.75" customHeight="1" x14ac:dyDescent="0.25">
      <c r="A736" s="2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</row>
    <row r="737" spans="1:19" ht="15.75" customHeight="1" x14ac:dyDescent="0.25">
      <c r="A737" s="2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</row>
    <row r="738" spans="1:19" ht="15.75" customHeight="1" x14ac:dyDescent="0.25">
      <c r="A738" s="2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</row>
    <row r="739" spans="1:19" ht="15.75" customHeight="1" x14ac:dyDescent="0.25">
      <c r="A739" s="2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</row>
    <row r="740" spans="1:19" ht="15.75" customHeight="1" x14ac:dyDescent="0.25">
      <c r="A740" s="2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</row>
    <row r="741" spans="1:19" ht="15.75" customHeight="1" x14ac:dyDescent="0.25">
      <c r="A741" s="2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</row>
    <row r="742" spans="1:19" ht="15.75" customHeight="1" x14ac:dyDescent="0.25">
      <c r="A742" s="2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</row>
    <row r="743" spans="1:19" ht="15.75" customHeight="1" x14ac:dyDescent="0.25">
      <c r="A743" s="2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</row>
    <row r="744" spans="1:19" ht="15.75" customHeight="1" x14ac:dyDescent="0.25">
      <c r="A744" s="2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</row>
    <row r="745" spans="1:19" ht="15.75" customHeight="1" x14ac:dyDescent="0.25">
      <c r="A745" s="2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</row>
    <row r="746" spans="1:19" ht="15.75" customHeight="1" x14ac:dyDescent="0.25">
      <c r="A746" s="2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</row>
    <row r="747" spans="1:19" ht="15.75" customHeight="1" x14ac:dyDescent="0.25">
      <c r="A747" s="2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</row>
    <row r="748" spans="1:19" ht="15.75" customHeight="1" x14ac:dyDescent="0.25">
      <c r="A748" s="2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</row>
    <row r="749" spans="1:19" ht="15.75" customHeight="1" x14ac:dyDescent="0.25">
      <c r="A749" s="2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</row>
    <row r="750" spans="1:19" ht="15.75" customHeight="1" x14ac:dyDescent="0.25">
      <c r="A750" s="2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</row>
    <row r="751" spans="1:19" ht="15.75" customHeight="1" x14ac:dyDescent="0.25">
      <c r="A751" s="2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</row>
    <row r="752" spans="1:19" ht="15.75" customHeight="1" x14ac:dyDescent="0.25">
      <c r="A752" s="2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</row>
    <row r="753" spans="1:19" ht="15.75" customHeight="1" x14ac:dyDescent="0.25">
      <c r="A753" s="2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</row>
    <row r="754" spans="1:19" ht="15.75" customHeight="1" x14ac:dyDescent="0.25">
      <c r="A754" s="2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</row>
    <row r="755" spans="1:19" ht="15.75" customHeight="1" x14ac:dyDescent="0.25">
      <c r="A755" s="2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</row>
    <row r="756" spans="1:19" ht="15.75" customHeight="1" x14ac:dyDescent="0.25">
      <c r="A756" s="2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</row>
    <row r="757" spans="1:19" ht="15.75" customHeight="1" x14ac:dyDescent="0.25">
      <c r="A757" s="2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</row>
    <row r="758" spans="1:19" ht="15.75" customHeight="1" x14ac:dyDescent="0.25">
      <c r="A758" s="2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</row>
    <row r="759" spans="1:19" ht="15.75" customHeight="1" x14ac:dyDescent="0.25">
      <c r="A759" s="2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</row>
    <row r="760" spans="1:19" ht="15.75" customHeight="1" x14ac:dyDescent="0.25">
      <c r="A760" s="2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</row>
    <row r="761" spans="1:19" ht="15.75" customHeight="1" x14ac:dyDescent="0.25">
      <c r="A761" s="2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</row>
    <row r="762" spans="1:19" ht="15.75" customHeight="1" x14ac:dyDescent="0.25">
      <c r="A762" s="2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</row>
    <row r="763" spans="1:19" ht="15.75" customHeight="1" x14ac:dyDescent="0.25">
      <c r="A763" s="2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</row>
    <row r="764" spans="1:19" ht="15.75" customHeight="1" x14ac:dyDescent="0.25">
      <c r="A764" s="2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</row>
    <row r="765" spans="1:19" ht="15.75" customHeight="1" x14ac:dyDescent="0.25">
      <c r="A765" s="2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</row>
    <row r="766" spans="1:19" ht="15.75" customHeight="1" x14ac:dyDescent="0.25">
      <c r="A766" s="2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</row>
    <row r="767" spans="1:19" ht="15.75" customHeight="1" x14ac:dyDescent="0.25">
      <c r="A767" s="2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</row>
    <row r="768" spans="1:19" ht="15.75" customHeight="1" x14ac:dyDescent="0.25">
      <c r="A768" s="2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</row>
    <row r="769" spans="1:19" ht="15.75" customHeight="1" x14ac:dyDescent="0.25">
      <c r="A769" s="2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</row>
    <row r="770" spans="1:19" ht="15.75" customHeight="1" x14ac:dyDescent="0.25">
      <c r="A770" s="2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</row>
    <row r="771" spans="1:19" ht="15.75" customHeight="1" x14ac:dyDescent="0.25">
      <c r="A771" s="2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</row>
    <row r="772" spans="1:19" ht="15.75" customHeight="1" x14ac:dyDescent="0.25">
      <c r="A772" s="2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</row>
    <row r="773" spans="1:19" ht="15.75" customHeight="1" x14ac:dyDescent="0.25">
      <c r="A773" s="2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</row>
    <row r="774" spans="1:19" ht="15.75" customHeight="1" x14ac:dyDescent="0.25">
      <c r="A774" s="2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</row>
    <row r="775" spans="1:19" ht="15.75" customHeight="1" x14ac:dyDescent="0.25">
      <c r="A775" s="2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</row>
    <row r="776" spans="1:19" ht="15.75" customHeight="1" x14ac:dyDescent="0.25">
      <c r="A776" s="2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</row>
    <row r="777" spans="1:19" ht="15.75" customHeight="1" x14ac:dyDescent="0.25">
      <c r="A777" s="2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</row>
    <row r="778" spans="1:19" ht="15.75" customHeight="1" x14ac:dyDescent="0.25">
      <c r="A778" s="2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</row>
    <row r="779" spans="1:19" ht="15.75" customHeight="1" x14ac:dyDescent="0.25">
      <c r="A779" s="2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</row>
    <row r="780" spans="1:19" ht="15.75" customHeight="1" x14ac:dyDescent="0.25">
      <c r="A780" s="2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</row>
    <row r="781" spans="1:19" ht="15.75" customHeight="1" x14ac:dyDescent="0.25">
      <c r="A781" s="2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</row>
    <row r="782" spans="1:19" ht="15.75" customHeight="1" x14ac:dyDescent="0.25">
      <c r="A782" s="2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</row>
    <row r="783" spans="1:19" ht="15.75" customHeight="1" x14ac:dyDescent="0.25">
      <c r="A783" s="2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</row>
    <row r="784" spans="1:19" ht="15.75" customHeight="1" x14ac:dyDescent="0.25">
      <c r="A784" s="2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</row>
    <row r="785" spans="1:19" ht="15.75" customHeight="1" x14ac:dyDescent="0.25">
      <c r="A785" s="2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</row>
    <row r="786" spans="1:19" ht="15.75" customHeight="1" x14ac:dyDescent="0.25">
      <c r="A786" s="2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</row>
    <row r="787" spans="1:19" ht="15.75" customHeight="1" x14ac:dyDescent="0.25">
      <c r="A787" s="2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</row>
    <row r="788" spans="1:19" ht="15.75" customHeight="1" x14ac:dyDescent="0.25">
      <c r="A788" s="2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</row>
    <row r="789" spans="1:19" ht="15.75" customHeight="1" x14ac:dyDescent="0.25">
      <c r="A789" s="2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</row>
    <row r="790" spans="1:19" ht="15.75" customHeight="1" x14ac:dyDescent="0.25">
      <c r="A790" s="2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</row>
    <row r="791" spans="1:19" ht="15.75" customHeight="1" x14ac:dyDescent="0.25">
      <c r="A791" s="2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</row>
    <row r="792" spans="1:19" ht="15.75" customHeight="1" x14ac:dyDescent="0.25">
      <c r="A792" s="2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</row>
    <row r="793" spans="1:19" ht="15.75" customHeight="1" x14ac:dyDescent="0.25">
      <c r="A793" s="2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</row>
    <row r="794" spans="1:19" ht="15.75" customHeight="1" x14ac:dyDescent="0.25">
      <c r="A794" s="2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</row>
    <row r="795" spans="1:19" ht="15.75" customHeight="1" x14ac:dyDescent="0.25">
      <c r="A795" s="2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</row>
    <row r="796" spans="1:19" ht="15.75" customHeight="1" x14ac:dyDescent="0.25">
      <c r="A796" s="2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</row>
    <row r="797" spans="1:19" ht="15.75" customHeight="1" x14ac:dyDescent="0.25">
      <c r="A797" s="2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</row>
    <row r="798" spans="1:19" ht="15.75" customHeight="1" x14ac:dyDescent="0.25">
      <c r="A798" s="2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</row>
    <row r="799" spans="1:19" ht="15.75" customHeight="1" x14ac:dyDescent="0.25">
      <c r="A799" s="2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</row>
    <row r="800" spans="1:19" ht="15.75" customHeight="1" x14ac:dyDescent="0.25">
      <c r="A800" s="2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</row>
    <row r="801" spans="1:19" ht="15.75" customHeight="1" x14ac:dyDescent="0.25">
      <c r="A801" s="2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</row>
    <row r="802" spans="1:19" ht="15.75" customHeight="1" x14ac:dyDescent="0.25">
      <c r="A802" s="2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</row>
    <row r="803" spans="1:19" ht="15.75" customHeight="1" x14ac:dyDescent="0.25">
      <c r="A803" s="2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</row>
    <row r="804" spans="1:19" ht="15.75" customHeight="1" x14ac:dyDescent="0.25">
      <c r="A804" s="2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</row>
    <row r="805" spans="1:19" ht="15.75" customHeight="1" x14ac:dyDescent="0.25">
      <c r="A805" s="2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</row>
    <row r="806" spans="1:19" ht="15.75" customHeight="1" x14ac:dyDescent="0.25">
      <c r="A806" s="2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</row>
    <row r="807" spans="1:19" ht="15.75" customHeight="1" x14ac:dyDescent="0.25">
      <c r="A807" s="2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</row>
    <row r="808" spans="1:19" ht="15.75" customHeight="1" x14ac:dyDescent="0.25">
      <c r="A808" s="2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</row>
    <row r="809" spans="1:19" ht="15.75" customHeight="1" x14ac:dyDescent="0.25">
      <c r="A809" s="2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</row>
    <row r="810" spans="1:19" ht="15.75" customHeight="1" x14ac:dyDescent="0.25">
      <c r="A810" s="2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</row>
    <row r="811" spans="1:19" ht="15.75" customHeight="1" x14ac:dyDescent="0.25">
      <c r="A811" s="2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</row>
    <row r="812" spans="1:19" ht="15.75" customHeight="1" x14ac:dyDescent="0.25">
      <c r="A812" s="2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</row>
    <row r="813" spans="1:19" ht="15.75" customHeight="1" x14ac:dyDescent="0.25">
      <c r="A813" s="2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</row>
    <row r="814" spans="1:19" ht="15.75" customHeight="1" x14ac:dyDescent="0.25">
      <c r="A814" s="2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</row>
    <row r="815" spans="1:19" ht="15.75" customHeight="1" x14ac:dyDescent="0.25">
      <c r="A815" s="2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</row>
    <row r="816" spans="1:19" ht="15.75" customHeight="1" x14ac:dyDescent="0.25">
      <c r="A816" s="2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</row>
    <row r="817" spans="1:19" ht="15.75" customHeight="1" x14ac:dyDescent="0.25">
      <c r="A817" s="2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</row>
    <row r="818" spans="1:19" ht="15.75" customHeight="1" x14ac:dyDescent="0.25">
      <c r="A818" s="2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</row>
    <row r="819" spans="1:19" ht="15.75" customHeight="1" x14ac:dyDescent="0.25">
      <c r="A819" s="2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</row>
    <row r="820" spans="1:19" ht="15.75" customHeight="1" x14ac:dyDescent="0.25">
      <c r="A820" s="2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</row>
    <row r="821" spans="1:19" ht="15.75" customHeight="1" x14ac:dyDescent="0.25">
      <c r="A821" s="2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</row>
    <row r="822" spans="1:19" ht="15.75" customHeight="1" x14ac:dyDescent="0.25">
      <c r="A822" s="2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</row>
    <row r="823" spans="1:19" ht="15.75" customHeight="1" x14ac:dyDescent="0.25">
      <c r="A823" s="2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</row>
    <row r="824" spans="1:19" ht="15.75" customHeight="1" x14ac:dyDescent="0.25">
      <c r="A824" s="2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</row>
    <row r="825" spans="1:19" ht="15.75" customHeight="1" x14ac:dyDescent="0.25">
      <c r="A825" s="2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</row>
    <row r="826" spans="1:19" ht="15.75" customHeight="1" x14ac:dyDescent="0.25">
      <c r="A826" s="2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</row>
    <row r="827" spans="1:19" ht="15.75" customHeight="1" x14ac:dyDescent="0.25">
      <c r="A827" s="2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</row>
    <row r="828" spans="1:19" ht="15.75" customHeight="1" x14ac:dyDescent="0.25">
      <c r="A828" s="2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</row>
    <row r="829" spans="1:19" ht="15.75" customHeight="1" x14ac:dyDescent="0.25">
      <c r="A829" s="2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</row>
    <row r="830" spans="1:19" ht="15.75" customHeight="1" x14ac:dyDescent="0.25">
      <c r="A830" s="2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</row>
    <row r="831" spans="1:19" ht="15.75" customHeight="1" x14ac:dyDescent="0.25">
      <c r="A831" s="2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</row>
    <row r="832" spans="1:19" ht="15.75" customHeight="1" x14ac:dyDescent="0.25">
      <c r="A832" s="2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</row>
    <row r="833" spans="1:19" ht="15.75" customHeight="1" x14ac:dyDescent="0.25">
      <c r="A833" s="2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</row>
    <row r="834" spans="1:19" ht="15.75" customHeight="1" x14ac:dyDescent="0.25">
      <c r="A834" s="2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</row>
    <row r="835" spans="1:19" ht="15.75" customHeight="1" x14ac:dyDescent="0.25">
      <c r="A835" s="2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</row>
    <row r="836" spans="1:19" ht="15.75" customHeight="1" x14ac:dyDescent="0.25">
      <c r="A836" s="2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</row>
    <row r="837" spans="1:19" ht="15.75" customHeight="1" x14ac:dyDescent="0.25">
      <c r="A837" s="2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</row>
    <row r="838" spans="1:19" ht="15.75" customHeight="1" x14ac:dyDescent="0.25">
      <c r="A838" s="2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</row>
    <row r="839" spans="1:19" ht="15.75" customHeight="1" x14ac:dyDescent="0.25">
      <c r="A839" s="2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</row>
    <row r="840" spans="1:19" ht="15.75" customHeight="1" x14ac:dyDescent="0.25">
      <c r="A840" s="2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</row>
    <row r="841" spans="1:19" ht="15.75" customHeight="1" x14ac:dyDescent="0.25">
      <c r="A841" s="2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</row>
    <row r="842" spans="1:19" ht="15.75" customHeight="1" x14ac:dyDescent="0.25">
      <c r="A842" s="2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</row>
    <row r="843" spans="1:19" ht="15.75" customHeight="1" x14ac:dyDescent="0.25">
      <c r="A843" s="2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</row>
    <row r="844" spans="1:19" ht="15.75" customHeight="1" x14ac:dyDescent="0.25">
      <c r="A844" s="2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</row>
    <row r="845" spans="1:19" ht="15.75" customHeight="1" x14ac:dyDescent="0.25">
      <c r="A845" s="2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</row>
    <row r="846" spans="1:19" ht="15.75" customHeight="1" x14ac:dyDescent="0.25">
      <c r="A846" s="2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</row>
    <row r="847" spans="1:19" ht="15.75" customHeight="1" x14ac:dyDescent="0.25">
      <c r="A847" s="2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</row>
    <row r="848" spans="1:19" ht="15.75" customHeight="1" x14ac:dyDescent="0.25">
      <c r="A848" s="2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</row>
    <row r="849" spans="1:19" ht="15.75" customHeight="1" x14ac:dyDescent="0.25">
      <c r="A849" s="2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</row>
    <row r="850" spans="1:19" ht="15.75" customHeight="1" x14ac:dyDescent="0.25">
      <c r="A850" s="2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</row>
    <row r="851" spans="1:19" ht="15.75" customHeight="1" x14ac:dyDescent="0.25">
      <c r="A851" s="2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</row>
    <row r="852" spans="1:19" ht="15.75" customHeight="1" x14ac:dyDescent="0.25">
      <c r="A852" s="2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</row>
    <row r="853" spans="1:19" ht="15.75" customHeight="1" x14ac:dyDescent="0.25">
      <c r="A853" s="2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</row>
  </sheetData>
  <mergeCells count="1343">
    <mergeCell ref="A454:A455"/>
    <mergeCell ref="B454:D455"/>
    <mergeCell ref="F454:F455"/>
    <mergeCell ref="K456:K457"/>
    <mergeCell ref="L456:L457"/>
    <mergeCell ref="M456:M457"/>
    <mergeCell ref="B619:D619"/>
    <mergeCell ref="N456:N457"/>
    <mergeCell ref="O456:O457"/>
    <mergeCell ref="B608:D608"/>
    <mergeCell ref="B609:D609"/>
    <mergeCell ref="B610:D610"/>
    <mergeCell ref="B613:D613"/>
    <mergeCell ref="B614:D614"/>
    <mergeCell ref="B615:D615"/>
    <mergeCell ref="B616:D616"/>
    <mergeCell ref="B617:D617"/>
    <mergeCell ref="B618:D618"/>
    <mergeCell ref="N606:Q606"/>
    <mergeCell ref="B594:D594"/>
    <mergeCell ref="B596:D596"/>
    <mergeCell ref="B597:D597"/>
    <mergeCell ref="B598:D598"/>
    <mergeCell ref="B599:D599"/>
    <mergeCell ref="P456:P457"/>
    <mergeCell ref="Q456:Q457"/>
    <mergeCell ref="A456:A457"/>
    <mergeCell ref="B456:D457"/>
    <mergeCell ref="F456:F457"/>
    <mergeCell ref="G456:G457"/>
    <mergeCell ref="H456:H457"/>
    <mergeCell ref="I456:I457"/>
    <mergeCell ref="J456:J457"/>
    <mergeCell ref="O448:O449"/>
    <mergeCell ref="P448:P449"/>
    <mergeCell ref="Q448:Q449"/>
    <mergeCell ref="H448:H449"/>
    <mergeCell ref="I448:I449"/>
    <mergeCell ref="J448:J449"/>
    <mergeCell ref="K448:K449"/>
    <mergeCell ref="L448:L449"/>
    <mergeCell ref="M448:M449"/>
    <mergeCell ref="N448:N449"/>
    <mergeCell ref="A448:A449"/>
    <mergeCell ref="B448:D449"/>
    <mergeCell ref="F448:F449"/>
    <mergeCell ref="G448:G449"/>
    <mergeCell ref="N454:N455"/>
    <mergeCell ref="O454:O455"/>
    <mergeCell ref="P454:P455"/>
    <mergeCell ref="Q454:Q455"/>
    <mergeCell ref="G454:G455"/>
    <mergeCell ref="H454:H455"/>
    <mergeCell ref="I454:I455"/>
    <mergeCell ref="J454:J455"/>
    <mergeCell ref="K454:K455"/>
    <mergeCell ref="L454:L455"/>
    <mergeCell ref="M454:M455"/>
    <mergeCell ref="B450:D450"/>
    <mergeCell ref="B451:D451"/>
    <mergeCell ref="B452:D452"/>
    <mergeCell ref="B453:D453"/>
    <mergeCell ref="I384:I385"/>
    <mergeCell ref="J384:J385"/>
    <mergeCell ref="K384:K385"/>
    <mergeCell ref="B374:D374"/>
    <mergeCell ref="A379:A380"/>
    <mergeCell ref="B379:D380"/>
    <mergeCell ref="B381:D381"/>
    <mergeCell ref="B382:D382"/>
    <mergeCell ref="B383:D383"/>
    <mergeCell ref="A384:A385"/>
    <mergeCell ref="B386:D386"/>
    <mergeCell ref="B387:D387"/>
    <mergeCell ref="B388:D388"/>
    <mergeCell ref="B389:D389"/>
    <mergeCell ref="B390:D390"/>
    <mergeCell ref="B391:D391"/>
    <mergeCell ref="B375:D375"/>
    <mergeCell ref="A365:A366"/>
    <mergeCell ref="B365:D366"/>
    <mergeCell ref="P395:P396"/>
    <mergeCell ref="Q395:Q396"/>
    <mergeCell ref="I395:I396"/>
    <mergeCell ref="J395:J396"/>
    <mergeCell ref="K395:K396"/>
    <mergeCell ref="L395:L396"/>
    <mergeCell ref="M395:M396"/>
    <mergeCell ref="N395:N396"/>
    <mergeCell ref="O395:O396"/>
    <mergeCell ref="F379:H379"/>
    <mergeCell ref="I379:I380"/>
    <mergeCell ref="J379:M379"/>
    <mergeCell ref="N379:Q379"/>
    <mergeCell ref="B367:D367"/>
    <mergeCell ref="B369:D369"/>
    <mergeCell ref="B370:D370"/>
    <mergeCell ref="B371:D371"/>
    <mergeCell ref="B372:D372"/>
    <mergeCell ref="B373:D373"/>
    <mergeCell ref="A378:R378"/>
    <mergeCell ref="L384:L385"/>
    <mergeCell ref="M384:M385"/>
    <mergeCell ref="N384:N385"/>
    <mergeCell ref="O384:O385"/>
    <mergeCell ref="P384:P385"/>
    <mergeCell ref="Q384:Q385"/>
    <mergeCell ref="R391:S391"/>
    <mergeCell ref="B384:D385"/>
    <mergeCell ref="F384:F385"/>
    <mergeCell ref="G384:G385"/>
    <mergeCell ref="A350:A351"/>
    <mergeCell ref="B350:D351"/>
    <mergeCell ref="F350:F351"/>
    <mergeCell ref="G350:G351"/>
    <mergeCell ref="H350:H351"/>
    <mergeCell ref="I350:I351"/>
    <mergeCell ref="B352:D352"/>
    <mergeCell ref="B353:D353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M365:M366"/>
    <mergeCell ref="N365:N366"/>
    <mergeCell ref="F365:F366"/>
    <mergeCell ref="G365:G366"/>
    <mergeCell ref="H365:H366"/>
    <mergeCell ref="I365:I366"/>
    <mergeCell ref="J365:J366"/>
    <mergeCell ref="K365:K366"/>
    <mergeCell ref="L365:L366"/>
    <mergeCell ref="N339:N340"/>
    <mergeCell ref="O339:O340"/>
    <mergeCell ref="O365:O366"/>
    <mergeCell ref="P365:P366"/>
    <mergeCell ref="Q365:Q366"/>
    <mergeCell ref="G339:G340"/>
    <mergeCell ref="H339:H340"/>
    <mergeCell ref="I339:I340"/>
    <mergeCell ref="J339:J340"/>
    <mergeCell ref="K339:K340"/>
    <mergeCell ref="L339:L340"/>
    <mergeCell ref="M339:M340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A319:A320"/>
    <mergeCell ref="B319:D320"/>
    <mergeCell ref="F319:F320"/>
    <mergeCell ref="G319:G320"/>
    <mergeCell ref="H319:H320"/>
    <mergeCell ref="I319:I320"/>
    <mergeCell ref="J319:J320"/>
    <mergeCell ref="B322:D322"/>
    <mergeCell ref="B323:D323"/>
    <mergeCell ref="B324:D324"/>
    <mergeCell ref="B325:D325"/>
    <mergeCell ref="B326:D326"/>
    <mergeCell ref="B327:D327"/>
    <mergeCell ref="B329:D329"/>
    <mergeCell ref="P339:P340"/>
    <mergeCell ref="Q339:Q340"/>
    <mergeCell ref="B336:D336"/>
    <mergeCell ref="B337:D337"/>
    <mergeCell ref="B338:D338"/>
    <mergeCell ref="A339:A340"/>
    <mergeCell ref="B339:D340"/>
    <mergeCell ref="F339:F340"/>
    <mergeCell ref="B211:D211"/>
    <mergeCell ref="B213:D213"/>
    <mergeCell ref="B215:D215"/>
    <mergeCell ref="B216:D216"/>
    <mergeCell ref="B217:D217"/>
    <mergeCell ref="B218:D218"/>
    <mergeCell ref="B219:D219"/>
    <mergeCell ref="B330:D330"/>
    <mergeCell ref="B331:D331"/>
    <mergeCell ref="A332:R333"/>
    <mergeCell ref="A334:A335"/>
    <mergeCell ref="B334:D335"/>
    <mergeCell ref="E334:E335"/>
    <mergeCell ref="F334:H334"/>
    <mergeCell ref="I334:I335"/>
    <mergeCell ref="J334:M334"/>
    <mergeCell ref="N334:Q334"/>
    <mergeCell ref="O317:O318"/>
    <mergeCell ref="P317:P318"/>
    <mergeCell ref="Q317:Q318"/>
    <mergeCell ref="H317:H318"/>
    <mergeCell ref="I317:I318"/>
    <mergeCell ref="J317:J318"/>
    <mergeCell ref="K317:K318"/>
    <mergeCell ref="L317:L318"/>
    <mergeCell ref="M317:M318"/>
    <mergeCell ref="N317:N318"/>
    <mergeCell ref="B314:D314"/>
    <mergeCell ref="B315:D315"/>
    <mergeCell ref="B316:D316"/>
    <mergeCell ref="A317:A318"/>
    <mergeCell ref="B317:D318"/>
    <mergeCell ref="A207:A208"/>
    <mergeCell ref="B207:D208"/>
    <mergeCell ref="F207:F208"/>
    <mergeCell ref="K209:K210"/>
    <mergeCell ref="L209:L210"/>
    <mergeCell ref="M209:M210"/>
    <mergeCell ref="N209:N210"/>
    <mergeCell ref="O209:O210"/>
    <mergeCell ref="P209:P210"/>
    <mergeCell ref="Q209:Q210"/>
    <mergeCell ref="A209:A210"/>
    <mergeCell ref="B209:D210"/>
    <mergeCell ref="F209:F210"/>
    <mergeCell ref="G209:G210"/>
    <mergeCell ref="H209:H210"/>
    <mergeCell ref="I209:I210"/>
    <mergeCell ref="J209:J210"/>
    <mergeCell ref="B197:D197"/>
    <mergeCell ref="B198:D198"/>
    <mergeCell ref="B199:D199"/>
    <mergeCell ref="B200:D200"/>
    <mergeCell ref="B201:D201"/>
    <mergeCell ref="B202:D202"/>
    <mergeCell ref="N207:N208"/>
    <mergeCell ref="O207:O208"/>
    <mergeCell ref="P207:P208"/>
    <mergeCell ref="Q207:Q208"/>
    <mergeCell ref="G207:G208"/>
    <mergeCell ref="H207:H208"/>
    <mergeCell ref="I207:I208"/>
    <mergeCell ref="J207:J208"/>
    <mergeCell ref="K207:K208"/>
    <mergeCell ref="L207:L208"/>
    <mergeCell ref="M207:M208"/>
    <mergeCell ref="B203:D203"/>
    <mergeCell ref="B204:D204"/>
    <mergeCell ref="B205:D205"/>
    <mergeCell ref="B206:D206"/>
    <mergeCell ref="K161:K162"/>
    <mergeCell ref="L161:L162"/>
    <mergeCell ref="M161:M162"/>
    <mergeCell ref="N161:N162"/>
    <mergeCell ref="O161:O162"/>
    <mergeCell ref="P161:P162"/>
    <mergeCell ref="Q161:Q162"/>
    <mergeCell ref="A161:A162"/>
    <mergeCell ref="B161:D162"/>
    <mergeCell ref="F161:F162"/>
    <mergeCell ref="G161:G162"/>
    <mergeCell ref="H161:H162"/>
    <mergeCell ref="I161:I162"/>
    <mergeCell ref="J161:J162"/>
    <mergeCell ref="J176:J177"/>
    <mergeCell ref="K176:K177"/>
    <mergeCell ref="B192:D192"/>
    <mergeCell ref="B182:D182"/>
    <mergeCell ref="B183:D183"/>
    <mergeCell ref="B184:D184"/>
    <mergeCell ref="B186:D186"/>
    <mergeCell ref="J190:M190"/>
    <mergeCell ref="N190:Q190"/>
    <mergeCell ref="B185:D185"/>
    <mergeCell ref="A189:R189"/>
    <mergeCell ref="A190:A191"/>
    <mergeCell ref="B190:D191"/>
    <mergeCell ref="E190:E191"/>
    <mergeCell ref="F190:H190"/>
    <mergeCell ref="I190:I191"/>
    <mergeCell ref="B163:D163"/>
    <mergeCell ref="B164:D164"/>
    <mergeCell ref="B151:D151"/>
    <mergeCell ref="B152:D152"/>
    <mergeCell ref="B153:D153"/>
    <mergeCell ref="B154:D154"/>
    <mergeCell ref="B155:D155"/>
    <mergeCell ref="B156:D156"/>
    <mergeCell ref="B157:D157"/>
    <mergeCell ref="J159:J160"/>
    <mergeCell ref="K159:K160"/>
    <mergeCell ref="L159:L160"/>
    <mergeCell ref="M159:M160"/>
    <mergeCell ref="N159:N160"/>
    <mergeCell ref="O159:O160"/>
    <mergeCell ref="P159:P160"/>
    <mergeCell ref="Q159:Q160"/>
    <mergeCell ref="B158:D158"/>
    <mergeCell ref="A159:A160"/>
    <mergeCell ref="B159:D160"/>
    <mergeCell ref="F159:F160"/>
    <mergeCell ref="G159:G160"/>
    <mergeCell ref="H159:H160"/>
    <mergeCell ref="I159:I160"/>
    <mergeCell ref="O195:O196"/>
    <mergeCell ref="P195:P196"/>
    <mergeCell ref="H195:H196"/>
    <mergeCell ref="I195:I196"/>
    <mergeCell ref="J195:J196"/>
    <mergeCell ref="K195:K196"/>
    <mergeCell ref="L195:L196"/>
    <mergeCell ref="M195:M196"/>
    <mergeCell ref="N195:N196"/>
    <mergeCell ref="B193:D193"/>
    <mergeCell ref="B194:D194"/>
    <mergeCell ref="A195:A196"/>
    <mergeCell ref="F195:F196"/>
    <mergeCell ref="G195:G196"/>
    <mergeCell ref="Q195:Q196"/>
    <mergeCell ref="B195:D196"/>
    <mergeCell ref="A174:A175"/>
    <mergeCell ref="A176:A177"/>
    <mergeCell ref="B176:D177"/>
    <mergeCell ref="F176:F177"/>
    <mergeCell ref="G176:G177"/>
    <mergeCell ref="H176:H177"/>
    <mergeCell ref="I176:I177"/>
    <mergeCell ref="Q174:Q175"/>
    <mergeCell ref="Q176:Q177"/>
    <mergeCell ref="B166:D166"/>
    <mergeCell ref="B167:D167"/>
    <mergeCell ref="B168:D168"/>
    <mergeCell ref="B169:D169"/>
    <mergeCell ref="B170:D170"/>
    <mergeCell ref="B178:D178"/>
    <mergeCell ref="B180:D180"/>
    <mergeCell ref="B181:D181"/>
    <mergeCell ref="O174:O175"/>
    <mergeCell ref="P174:P175"/>
    <mergeCell ref="H174:H175"/>
    <mergeCell ref="I174:I175"/>
    <mergeCell ref="J174:J175"/>
    <mergeCell ref="K174:K175"/>
    <mergeCell ref="L174:L175"/>
    <mergeCell ref="M174:M175"/>
    <mergeCell ref="N174:N175"/>
    <mergeCell ref="B171:D171"/>
    <mergeCell ref="B172:D172"/>
    <mergeCell ref="B173:D173"/>
    <mergeCell ref="B174:D175"/>
    <mergeCell ref="F174:F175"/>
    <mergeCell ref="G174:G175"/>
    <mergeCell ref="L176:L177"/>
    <mergeCell ref="M176:M177"/>
    <mergeCell ref="N176:N177"/>
    <mergeCell ref="O176:O177"/>
    <mergeCell ref="P176:P177"/>
    <mergeCell ref="N149:N150"/>
    <mergeCell ref="O149:O150"/>
    <mergeCell ref="P149:P150"/>
    <mergeCell ref="Q149:Q150"/>
    <mergeCell ref="G149:G150"/>
    <mergeCell ref="H149:H150"/>
    <mergeCell ref="I149:I150"/>
    <mergeCell ref="J149:J150"/>
    <mergeCell ref="K149:K150"/>
    <mergeCell ref="L149:L150"/>
    <mergeCell ref="M149:M150"/>
    <mergeCell ref="B145:D145"/>
    <mergeCell ref="B146:D146"/>
    <mergeCell ref="B147:D147"/>
    <mergeCell ref="B148:D148"/>
    <mergeCell ref="A149:A150"/>
    <mergeCell ref="B149:D150"/>
    <mergeCell ref="F149:F150"/>
    <mergeCell ref="A128:A129"/>
    <mergeCell ref="B128:D129"/>
    <mergeCell ref="B139:D139"/>
    <mergeCell ref="B138:D138"/>
    <mergeCell ref="B140:D140"/>
    <mergeCell ref="A142:R142"/>
    <mergeCell ref="B130:D130"/>
    <mergeCell ref="B131:D131"/>
    <mergeCell ref="B133:D133"/>
    <mergeCell ref="B134:D134"/>
    <mergeCell ref="B135:D135"/>
    <mergeCell ref="B136:D136"/>
    <mergeCell ref="B137:D137"/>
    <mergeCell ref="A143:A144"/>
    <mergeCell ref="B143:D144"/>
    <mergeCell ref="E143:E144"/>
    <mergeCell ref="F143:H143"/>
    <mergeCell ref="I143:I144"/>
    <mergeCell ref="J143:M143"/>
    <mergeCell ref="N143:Q143"/>
    <mergeCell ref="B72:D72"/>
    <mergeCell ref="B73:D73"/>
    <mergeCell ref="B75:D75"/>
    <mergeCell ref="B76:D76"/>
    <mergeCell ref="B77:D77"/>
    <mergeCell ref="B78:D78"/>
    <mergeCell ref="B79:D79"/>
    <mergeCell ref="O83:O84"/>
    <mergeCell ref="P83:P84"/>
    <mergeCell ref="Q83:Q84"/>
    <mergeCell ref="H83:H84"/>
    <mergeCell ref="I83:I84"/>
    <mergeCell ref="J83:J84"/>
    <mergeCell ref="K83:K84"/>
    <mergeCell ref="L83:L84"/>
    <mergeCell ref="M83:M84"/>
    <mergeCell ref="N83:N84"/>
    <mergeCell ref="A58:A59"/>
    <mergeCell ref="F58:F59"/>
    <mergeCell ref="G58:G59"/>
    <mergeCell ref="Q58:Q59"/>
    <mergeCell ref="B58:D59"/>
    <mergeCell ref="B60:D60"/>
    <mergeCell ref="B61:D61"/>
    <mergeCell ref="B62:D62"/>
    <mergeCell ref="B63:D63"/>
    <mergeCell ref="B64:D64"/>
    <mergeCell ref="B65:D65"/>
    <mergeCell ref="N70:N71"/>
    <mergeCell ref="O70:O71"/>
    <mergeCell ref="P70:P71"/>
    <mergeCell ref="Q70:Q71"/>
    <mergeCell ref="G70:G71"/>
    <mergeCell ref="H70:H71"/>
    <mergeCell ref="I70:I71"/>
    <mergeCell ref="J70:J71"/>
    <mergeCell ref="K70:K71"/>
    <mergeCell ref="L70:L71"/>
    <mergeCell ref="M70:M71"/>
    <mergeCell ref="B66:D66"/>
    <mergeCell ref="B67:D67"/>
    <mergeCell ref="B68:D68"/>
    <mergeCell ref="B69:D69"/>
    <mergeCell ref="A70:A71"/>
    <mergeCell ref="B70:D71"/>
    <mergeCell ref="F70:F71"/>
    <mergeCell ref="B36:D36"/>
    <mergeCell ref="B37:D37"/>
    <mergeCell ref="B55:D55"/>
    <mergeCell ref="B56:D56"/>
    <mergeCell ref="B57:D57"/>
    <mergeCell ref="A38:A39"/>
    <mergeCell ref="B38:D39"/>
    <mergeCell ref="F38:F39"/>
    <mergeCell ref="G38:G39"/>
    <mergeCell ref="B47:D47"/>
    <mergeCell ref="B48:D48"/>
    <mergeCell ref="B49:D49"/>
    <mergeCell ref="B50:D50"/>
    <mergeCell ref="A52:R52"/>
    <mergeCell ref="B40:D40"/>
    <mergeCell ref="B41:D41"/>
    <mergeCell ref="B42:D42"/>
    <mergeCell ref="B43:D43"/>
    <mergeCell ref="B44:D44"/>
    <mergeCell ref="B45:D45"/>
    <mergeCell ref="B46:D46"/>
    <mergeCell ref="A53:A54"/>
    <mergeCell ref="B53:D54"/>
    <mergeCell ref="B27:D27"/>
    <mergeCell ref="B28:D28"/>
    <mergeCell ref="B29:D29"/>
    <mergeCell ref="B30:D30"/>
    <mergeCell ref="B31:D31"/>
    <mergeCell ref="B33:D33"/>
    <mergeCell ref="B34:D34"/>
    <mergeCell ref="O58:O59"/>
    <mergeCell ref="P58:P59"/>
    <mergeCell ref="H58:H59"/>
    <mergeCell ref="I58:I59"/>
    <mergeCell ref="J58:J59"/>
    <mergeCell ref="K58:K59"/>
    <mergeCell ref="L58:L59"/>
    <mergeCell ref="M58:M59"/>
    <mergeCell ref="N58:N59"/>
    <mergeCell ref="O38:O39"/>
    <mergeCell ref="P38:P39"/>
    <mergeCell ref="E53:E54"/>
    <mergeCell ref="F53:H53"/>
    <mergeCell ref="I53:I54"/>
    <mergeCell ref="J53:M53"/>
    <mergeCell ref="N53:Q53"/>
    <mergeCell ref="Q38:Q39"/>
    <mergeCell ref="H38:H39"/>
    <mergeCell ref="I38:I39"/>
    <mergeCell ref="J38:J39"/>
    <mergeCell ref="K38:K39"/>
    <mergeCell ref="L38:L39"/>
    <mergeCell ref="M38:M39"/>
    <mergeCell ref="N38:N39"/>
    <mergeCell ref="B35:D35"/>
    <mergeCell ref="A23:A24"/>
    <mergeCell ref="B23:D24"/>
    <mergeCell ref="F23:F24"/>
    <mergeCell ref="K25:K26"/>
    <mergeCell ref="L25:L26"/>
    <mergeCell ref="M25:M26"/>
    <mergeCell ref="N25:N26"/>
    <mergeCell ref="O25:O26"/>
    <mergeCell ref="P25:P26"/>
    <mergeCell ref="Q25:Q26"/>
    <mergeCell ref="A25:A26"/>
    <mergeCell ref="B25:D26"/>
    <mergeCell ref="F25:F26"/>
    <mergeCell ref="G25:G26"/>
    <mergeCell ref="H25:H26"/>
    <mergeCell ref="I25:I26"/>
    <mergeCell ref="J25:J26"/>
    <mergeCell ref="B12:D12"/>
    <mergeCell ref="B13:D13"/>
    <mergeCell ref="B14:D14"/>
    <mergeCell ref="B15:D15"/>
    <mergeCell ref="B16:D16"/>
    <mergeCell ref="B18:D18"/>
    <mergeCell ref="B19:D19"/>
    <mergeCell ref="N23:N24"/>
    <mergeCell ref="O23:O24"/>
    <mergeCell ref="P23:P24"/>
    <mergeCell ref="Q23:Q24"/>
    <mergeCell ref="G23:G24"/>
    <mergeCell ref="H23:H24"/>
    <mergeCell ref="I23:I24"/>
    <mergeCell ref="J23:J24"/>
    <mergeCell ref="K23:K24"/>
    <mergeCell ref="L23:L24"/>
    <mergeCell ref="M23:M24"/>
    <mergeCell ref="B20:D20"/>
    <mergeCell ref="B21:D21"/>
    <mergeCell ref="B22:D22"/>
    <mergeCell ref="J4:M4"/>
    <mergeCell ref="N4:Q4"/>
    <mergeCell ref="D1:O1"/>
    <mergeCell ref="A3:R3"/>
    <mergeCell ref="A4:A5"/>
    <mergeCell ref="B4:D5"/>
    <mergeCell ref="E4:E5"/>
    <mergeCell ref="F9:F11"/>
    <mergeCell ref="G9:G11"/>
    <mergeCell ref="O9:O11"/>
    <mergeCell ref="P9:P11"/>
    <mergeCell ref="Q9:Q11"/>
    <mergeCell ref="H9:H11"/>
    <mergeCell ref="I9:I11"/>
    <mergeCell ref="J9:J11"/>
    <mergeCell ref="K9:K11"/>
    <mergeCell ref="L9:L11"/>
    <mergeCell ref="M9:M11"/>
    <mergeCell ref="N9:N11"/>
    <mergeCell ref="F4:H4"/>
    <mergeCell ref="I4:I5"/>
    <mergeCell ref="B6:D6"/>
    <mergeCell ref="B7:D7"/>
    <mergeCell ref="B8:D8"/>
    <mergeCell ref="A9:A11"/>
    <mergeCell ref="B9:D11"/>
    <mergeCell ref="F2:L2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20:D120"/>
    <mergeCell ref="B121:D121"/>
    <mergeCell ref="B122:D122"/>
    <mergeCell ref="M128:M129"/>
    <mergeCell ref="N128:N129"/>
    <mergeCell ref="O128:O129"/>
    <mergeCell ref="P128:P129"/>
    <mergeCell ref="Q128:Q129"/>
    <mergeCell ref="F128:F129"/>
    <mergeCell ref="G128:G129"/>
    <mergeCell ref="H128:H129"/>
    <mergeCell ref="I128:I129"/>
    <mergeCell ref="J128:J129"/>
    <mergeCell ref="K128:K129"/>
    <mergeCell ref="L128:L129"/>
    <mergeCell ref="B123:D123"/>
    <mergeCell ref="B124:D124"/>
    <mergeCell ref="B125:D125"/>
    <mergeCell ref="B126:D126"/>
    <mergeCell ref="B127:D127"/>
    <mergeCell ref="B119:D119"/>
    <mergeCell ref="K106:K107"/>
    <mergeCell ref="L106:L107"/>
    <mergeCell ref="M106:M107"/>
    <mergeCell ref="N106:N107"/>
    <mergeCell ref="O106:O107"/>
    <mergeCell ref="P106:P107"/>
    <mergeCell ref="Q106:Q107"/>
    <mergeCell ref="A106:A107"/>
    <mergeCell ref="B106:D107"/>
    <mergeCell ref="F106:F107"/>
    <mergeCell ref="G106:G107"/>
    <mergeCell ref="H106:H107"/>
    <mergeCell ref="I106:I107"/>
    <mergeCell ref="J106:J107"/>
    <mergeCell ref="B108:D108"/>
    <mergeCell ref="B109:D109"/>
    <mergeCell ref="B110:D110"/>
    <mergeCell ref="B88:D88"/>
    <mergeCell ref="B89:D89"/>
    <mergeCell ref="B90:D90"/>
    <mergeCell ref="B91:D91"/>
    <mergeCell ref="B92:D92"/>
    <mergeCell ref="B93:D93"/>
    <mergeCell ref="A99:A100"/>
    <mergeCell ref="B99:D100"/>
    <mergeCell ref="E99:E100"/>
    <mergeCell ref="F99:H99"/>
    <mergeCell ref="I99:I100"/>
    <mergeCell ref="J99:M99"/>
    <mergeCell ref="N99:Q99"/>
    <mergeCell ref="P104:P105"/>
    <mergeCell ref="Q104:Q105"/>
    <mergeCell ref="B101:D101"/>
    <mergeCell ref="B102:D102"/>
    <mergeCell ref="B103:D103"/>
    <mergeCell ref="A104:A105"/>
    <mergeCell ref="B104:D105"/>
    <mergeCell ref="E104:E105"/>
    <mergeCell ref="F104:F105"/>
    <mergeCell ref="N104:N105"/>
    <mergeCell ref="O104:O105"/>
    <mergeCell ref="G104:G105"/>
    <mergeCell ref="H104:H105"/>
    <mergeCell ref="I104:I105"/>
    <mergeCell ref="J104:J105"/>
    <mergeCell ref="K104:K105"/>
    <mergeCell ref="L104:L105"/>
    <mergeCell ref="M104:M105"/>
    <mergeCell ref="P636:P637"/>
    <mergeCell ref="Q636:Q637"/>
    <mergeCell ref="I636:I637"/>
    <mergeCell ref="J636:J637"/>
    <mergeCell ref="K636:K637"/>
    <mergeCell ref="L636:L637"/>
    <mergeCell ref="M636:M637"/>
    <mergeCell ref="N636:N637"/>
    <mergeCell ref="O636:O637"/>
    <mergeCell ref="B80:D80"/>
    <mergeCell ref="B81:D81"/>
    <mergeCell ref="B82:D82"/>
    <mergeCell ref="A83:A84"/>
    <mergeCell ref="B83:D84"/>
    <mergeCell ref="F83:F84"/>
    <mergeCell ref="G83:G84"/>
    <mergeCell ref="K85:K86"/>
    <mergeCell ref="L85:L86"/>
    <mergeCell ref="M85:M86"/>
    <mergeCell ref="N85:N86"/>
    <mergeCell ref="O85:O86"/>
    <mergeCell ref="P85:P86"/>
    <mergeCell ref="Q85:Q86"/>
    <mergeCell ref="A85:A86"/>
    <mergeCell ref="B85:D86"/>
    <mergeCell ref="F85:F86"/>
    <mergeCell ref="G85:G86"/>
    <mergeCell ref="H85:H86"/>
    <mergeCell ref="I85:I86"/>
    <mergeCell ref="J85:J86"/>
    <mergeCell ref="B94:D94"/>
    <mergeCell ref="A98:R98"/>
    <mergeCell ref="N622:N623"/>
    <mergeCell ref="O622:O623"/>
    <mergeCell ref="P622:P623"/>
    <mergeCell ref="Q622:Q623"/>
    <mergeCell ref="B621:D621"/>
    <mergeCell ref="A622:A623"/>
    <mergeCell ref="B622:D623"/>
    <mergeCell ref="F622:F623"/>
    <mergeCell ref="G622:G623"/>
    <mergeCell ref="H622:H623"/>
    <mergeCell ref="I622:I623"/>
    <mergeCell ref="K624:K625"/>
    <mergeCell ref="L624:L625"/>
    <mergeCell ref="M624:M625"/>
    <mergeCell ref="N624:N625"/>
    <mergeCell ref="O624:O625"/>
    <mergeCell ref="P624:P625"/>
    <mergeCell ref="Q624:Q625"/>
    <mergeCell ref="A624:A625"/>
    <mergeCell ref="B624:D625"/>
    <mergeCell ref="F624:F625"/>
    <mergeCell ref="G624:G625"/>
    <mergeCell ref="H624:H625"/>
    <mergeCell ref="I624:I625"/>
    <mergeCell ref="J624:J625"/>
    <mergeCell ref="B634:D634"/>
    <mergeCell ref="B635:D635"/>
    <mergeCell ref="A636:A637"/>
    <mergeCell ref="B636:D637"/>
    <mergeCell ref="F636:F637"/>
    <mergeCell ref="G636:G637"/>
    <mergeCell ref="H636:H637"/>
    <mergeCell ref="B646:D646"/>
    <mergeCell ref="B649:D649"/>
    <mergeCell ref="B650:D650"/>
    <mergeCell ref="B651:D651"/>
    <mergeCell ref="B638:D638"/>
    <mergeCell ref="B639:D639"/>
    <mergeCell ref="B641:D641"/>
    <mergeCell ref="B642:D642"/>
    <mergeCell ref="B643:D643"/>
    <mergeCell ref="B644:D644"/>
    <mergeCell ref="B645:D645"/>
    <mergeCell ref="B631:D631"/>
    <mergeCell ref="B632:D632"/>
    <mergeCell ref="B633:D633"/>
    <mergeCell ref="B392:D392"/>
    <mergeCell ref="B393:D393"/>
    <mergeCell ref="B394:D394"/>
    <mergeCell ref="A395:A396"/>
    <mergeCell ref="B395:D396"/>
    <mergeCell ref="F395:F396"/>
    <mergeCell ref="Q301:Q302"/>
    <mergeCell ref="I301:I302"/>
    <mergeCell ref="J301:J302"/>
    <mergeCell ref="K301:K302"/>
    <mergeCell ref="L301:L302"/>
    <mergeCell ref="M301:M302"/>
    <mergeCell ref="N301:N302"/>
    <mergeCell ref="O301:O302"/>
    <mergeCell ref="K319:K320"/>
    <mergeCell ref="L319:L320"/>
    <mergeCell ref="M319:M320"/>
    <mergeCell ref="N319:N320"/>
    <mergeCell ref="O319:O320"/>
    <mergeCell ref="P319:P320"/>
    <mergeCell ref="Q319:Q320"/>
    <mergeCell ref="J303:J304"/>
    <mergeCell ref="K303:K304"/>
    <mergeCell ref="L303:L304"/>
    <mergeCell ref="M303:M304"/>
    <mergeCell ref="J622:J623"/>
    <mergeCell ref="K622:K623"/>
    <mergeCell ref="L622:L623"/>
    <mergeCell ref="M622:M623"/>
    <mergeCell ref="F301:F302"/>
    <mergeCell ref="G301:G302"/>
    <mergeCell ref="H301:H302"/>
    <mergeCell ref="B313:D313"/>
    <mergeCell ref="B328:D328"/>
    <mergeCell ref="B305:D305"/>
    <mergeCell ref="B306:D306"/>
    <mergeCell ref="B309:D309"/>
    <mergeCell ref="B310:D310"/>
    <mergeCell ref="B311:D311"/>
    <mergeCell ref="B312:D312"/>
    <mergeCell ref="F317:F318"/>
    <mergeCell ref="G317:G318"/>
    <mergeCell ref="B626:D626"/>
    <mergeCell ref="B628:D628"/>
    <mergeCell ref="B629:D629"/>
    <mergeCell ref="B630:D630"/>
    <mergeCell ref="B341:D341"/>
    <mergeCell ref="B342:D342"/>
    <mergeCell ref="B344:D344"/>
    <mergeCell ref="B345:D345"/>
    <mergeCell ref="B346:D346"/>
    <mergeCell ref="B347:D347"/>
    <mergeCell ref="B348:D348"/>
    <mergeCell ref="B349:D349"/>
    <mergeCell ref="B364:D364"/>
    <mergeCell ref="H384:H385"/>
    <mergeCell ref="G395:G396"/>
    <mergeCell ref="H395:H396"/>
    <mergeCell ref="B445:D445"/>
    <mergeCell ref="B446:D446"/>
    <mergeCell ref="B447:D447"/>
    <mergeCell ref="N303:N304"/>
    <mergeCell ref="O303:O304"/>
    <mergeCell ref="P303:P304"/>
    <mergeCell ref="Q303:Q304"/>
    <mergeCell ref="A303:A304"/>
    <mergeCell ref="B303:D304"/>
    <mergeCell ref="E303:E304"/>
    <mergeCell ref="F303:F304"/>
    <mergeCell ref="G303:G304"/>
    <mergeCell ref="H303:H304"/>
    <mergeCell ref="I303:I304"/>
    <mergeCell ref="L289:L290"/>
    <mergeCell ref="M289:M290"/>
    <mergeCell ref="B289:D290"/>
    <mergeCell ref="F289:F290"/>
    <mergeCell ref="G289:G290"/>
    <mergeCell ref="H289:H290"/>
    <mergeCell ref="I289:I290"/>
    <mergeCell ref="J289:J290"/>
    <mergeCell ref="K289:K290"/>
    <mergeCell ref="B291:D291"/>
    <mergeCell ref="B292:D292"/>
    <mergeCell ref="B294:D294"/>
    <mergeCell ref="B295:D295"/>
    <mergeCell ref="B296:D296"/>
    <mergeCell ref="B297:D297"/>
    <mergeCell ref="B298:D298"/>
    <mergeCell ref="P301:P302"/>
    <mergeCell ref="B299:D299"/>
    <mergeCell ref="B300:D300"/>
    <mergeCell ref="A301:A302"/>
    <mergeCell ref="B301:D302"/>
    <mergeCell ref="F284:H284"/>
    <mergeCell ref="I284:I285"/>
    <mergeCell ref="J284:M284"/>
    <mergeCell ref="N284:Q284"/>
    <mergeCell ref="N289:N290"/>
    <mergeCell ref="O289:O290"/>
    <mergeCell ref="P289:P290"/>
    <mergeCell ref="Q289:Q290"/>
    <mergeCell ref="B272:D272"/>
    <mergeCell ref="B274:D274"/>
    <mergeCell ref="B275:D275"/>
    <mergeCell ref="B276:D276"/>
    <mergeCell ref="B277:D277"/>
    <mergeCell ref="B278:D278"/>
    <mergeCell ref="A283:R283"/>
    <mergeCell ref="B280:D280"/>
    <mergeCell ref="B279:D279"/>
    <mergeCell ref="A284:A285"/>
    <mergeCell ref="B284:D285"/>
    <mergeCell ref="B286:D286"/>
    <mergeCell ref="B287:D287"/>
    <mergeCell ref="B288:D288"/>
    <mergeCell ref="A289:A290"/>
    <mergeCell ref="B281:D281"/>
    <mergeCell ref="A256:A257"/>
    <mergeCell ref="B256:D257"/>
    <mergeCell ref="F256:F257"/>
    <mergeCell ref="G256:G257"/>
    <mergeCell ref="H256:H257"/>
    <mergeCell ref="B258:D258"/>
    <mergeCell ref="B259:D259"/>
    <mergeCell ref="B260:D260"/>
    <mergeCell ref="B262:D262"/>
    <mergeCell ref="B263:D263"/>
    <mergeCell ref="B264:D264"/>
    <mergeCell ref="B265:D265"/>
    <mergeCell ref="N270:N271"/>
    <mergeCell ref="O270:O271"/>
    <mergeCell ref="P270:P271"/>
    <mergeCell ref="Q270:Q271"/>
    <mergeCell ref="G270:G271"/>
    <mergeCell ref="H270:H271"/>
    <mergeCell ref="I270:I271"/>
    <mergeCell ref="J270:J271"/>
    <mergeCell ref="K270:K271"/>
    <mergeCell ref="L270:L271"/>
    <mergeCell ref="M270:M271"/>
    <mergeCell ref="B266:D266"/>
    <mergeCell ref="B267:D267"/>
    <mergeCell ref="B268:D268"/>
    <mergeCell ref="B269:D269"/>
    <mergeCell ref="A270:A271"/>
    <mergeCell ref="B270:D271"/>
    <mergeCell ref="F270:F271"/>
    <mergeCell ref="P256:P257"/>
    <mergeCell ref="Q256:Q257"/>
    <mergeCell ref="A237:A238"/>
    <mergeCell ref="B241:D242"/>
    <mergeCell ref="F241:F242"/>
    <mergeCell ref="G241:G242"/>
    <mergeCell ref="H241:H242"/>
    <mergeCell ref="I241:I242"/>
    <mergeCell ref="B243:D243"/>
    <mergeCell ref="J244:J246"/>
    <mergeCell ref="K244:K246"/>
    <mergeCell ref="L244:L246"/>
    <mergeCell ref="M244:M246"/>
    <mergeCell ref="N244:N246"/>
    <mergeCell ref="O244:O246"/>
    <mergeCell ref="P244:P246"/>
    <mergeCell ref="Q244:Q246"/>
    <mergeCell ref="A241:A242"/>
    <mergeCell ref="A244:A246"/>
    <mergeCell ref="B244:D246"/>
    <mergeCell ref="F244:F246"/>
    <mergeCell ref="G244:G246"/>
    <mergeCell ref="H244:H246"/>
    <mergeCell ref="I244:I246"/>
    <mergeCell ref="A223:A224"/>
    <mergeCell ref="B223:D224"/>
    <mergeCell ref="F223:F224"/>
    <mergeCell ref="G223:G224"/>
    <mergeCell ref="H223:H224"/>
    <mergeCell ref="I223:I224"/>
    <mergeCell ref="J223:J224"/>
    <mergeCell ref="I256:I257"/>
    <mergeCell ref="J256:J257"/>
    <mergeCell ref="K256:K257"/>
    <mergeCell ref="L256:L257"/>
    <mergeCell ref="M256:M257"/>
    <mergeCell ref="N256:N257"/>
    <mergeCell ref="O256:O257"/>
    <mergeCell ref="B237:D238"/>
    <mergeCell ref="E237:E238"/>
    <mergeCell ref="F237:H237"/>
    <mergeCell ref="I237:I238"/>
    <mergeCell ref="J237:M237"/>
    <mergeCell ref="B239:D239"/>
    <mergeCell ref="B240:D240"/>
    <mergeCell ref="L241:L242"/>
    <mergeCell ref="M241:M242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620:D620"/>
    <mergeCell ref="J221:J222"/>
    <mergeCell ref="K221:K222"/>
    <mergeCell ref="L221:L222"/>
    <mergeCell ref="M221:M222"/>
    <mergeCell ref="N221:N222"/>
    <mergeCell ref="O221:O222"/>
    <mergeCell ref="P221:P222"/>
    <mergeCell ref="B234:D234"/>
    <mergeCell ref="A236:R236"/>
    <mergeCell ref="B225:D225"/>
    <mergeCell ref="B227:D227"/>
    <mergeCell ref="B228:D228"/>
    <mergeCell ref="B229:D229"/>
    <mergeCell ref="B231:D231"/>
    <mergeCell ref="B233:D233"/>
    <mergeCell ref="B232:D232"/>
    <mergeCell ref="J241:J242"/>
    <mergeCell ref="K241:K242"/>
    <mergeCell ref="N241:N242"/>
    <mergeCell ref="O241:O242"/>
    <mergeCell ref="P241:P242"/>
    <mergeCell ref="Q241:Q242"/>
    <mergeCell ref="B589:D589"/>
    <mergeCell ref="B590:D590"/>
    <mergeCell ref="A592:A593"/>
    <mergeCell ref="B592:D593"/>
    <mergeCell ref="F592:F593"/>
    <mergeCell ref="G592:G593"/>
    <mergeCell ref="F606:H606"/>
    <mergeCell ref="I606:I607"/>
    <mergeCell ref="J606:M606"/>
    <mergeCell ref="B600:D600"/>
    <mergeCell ref="A605:R605"/>
    <mergeCell ref="B602:D602"/>
    <mergeCell ref="B601:D601"/>
    <mergeCell ref="A606:A607"/>
    <mergeCell ref="B606:D607"/>
    <mergeCell ref="E606:E607"/>
    <mergeCell ref="B580:D580"/>
    <mergeCell ref="B581:D581"/>
    <mergeCell ref="B583:D583"/>
    <mergeCell ref="B584:D584"/>
    <mergeCell ref="B585:D585"/>
    <mergeCell ref="B586:D586"/>
    <mergeCell ref="B587:D587"/>
    <mergeCell ref="K611:K612"/>
    <mergeCell ref="L611:L612"/>
    <mergeCell ref="M611:M612"/>
    <mergeCell ref="N611:N612"/>
    <mergeCell ref="O611:O612"/>
    <mergeCell ref="P611:P612"/>
    <mergeCell ref="Q611:Q612"/>
    <mergeCell ref="A611:A612"/>
    <mergeCell ref="B611:D612"/>
    <mergeCell ref="F611:F612"/>
    <mergeCell ref="G611:G612"/>
    <mergeCell ref="H611:H612"/>
    <mergeCell ref="I611:I612"/>
    <mergeCell ref="J611:J612"/>
    <mergeCell ref="O592:O593"/>
    <mergeCell ref="P592:P593"/>
    <mergeCell ref="Q592:Q593"/>
    <mergeCell ref="H592:H593"/>
    <mergeCell ref="I592:I593"/>
    <mergeCell ref="J592:J593"/>
    <mergeCell ref="K592:K593"/>
    <mergeCell ref="L592:L593"/>
    <mergeCell ref="M592:M593"/>
    <mergeCell ref="N592:N593"/>
    <mergeCell ref="B588:D588"/>
    <mergeCell ref="A578:A579"/>
    <mergeCell ref="B578:D579"/>
    <mergeCell ref="F578:F579"/>
    <mergeCell ref="G578:G579"/>
    <mergeCell ref="H578:H579"/>
    <mergeCell ref="I578:I579"/>
    <mergeCell ref="J578:J579"/>
    <mergeCell ref="H565:H566"/>
    <mergeCell ref="I565:I566"/>
    <mergeCell ref="F560:H560"/>
    <mergeCell ref="I560:I561"/>
    <mergeCell ref="B562:D562"/>
    <mergeCell ref="B563:D563"/>
    <mergeCell ref="B564:D564"/>
    <mergeCell ref="A565:A566"/>
    <mergeCell ref="B565:D566"/>
    <mergeCell ref="B567:D567"/>
    <mergeCell ref="B568:D568"/>
    <mergeCell ref="B569:D569"/>
    <mergeCell ref="B570:D570"/>
    <mergeCell ref="B571:D571"/>
    <mergeCell ref="B572:D572"/>
    <mergeCell ref="B573:D573"/>
    <mergeCell ref="I576:I577"/>
    <mergeCell ref="J576:J577"/>
    <mergeCell ref="B574:D574"/>
    <mergeCell ref="B575:D575"/>
    <mergeCell ref="A576:A577"/>
    <mergeCell ref="B576:D577"/>
    <mergeCell ref="F576:F577"/>
    <mergeCell ref="G576:G577"/>
    <mergeCell ref="H576:H577"/>
    <mergeCell ref="O565:O566"/>
    <mergeCell ref="P565:P566"/>
    <mergeCell ref="Q565:Q566"/>
    <mergeCell ref="F565:F566"/>
    <mergeCell ref="G565:G566"/>
    <mergeCell ref="J565:J566"/>
    <mergeCell ref="K565:K566"/>
    <mergeCell ref="L565:L566"/>
    <mergeCell ref="M565:M566"/>
    <mergeCell ref="N565:N566"/>
    <mergeCell ref="K578:K579"/>
    <mergeCell ref="L578:L579"/>
    <mergeCell ref="M578:M579"/>
    <mergeCell ref="N578:N579"/>
    <mergeCell ref="O578:O579"/>
    <mergeCell ref="P578:P579"/>
    <mergeCell ref="Q578:Q579"/>
    <mergeCell ref="P576:P577"/>
    <mergeCell ref="Q576:Q577"/>
    <mergeCell ref="K576:K577"/>
    <mergeCell ref="L576:L577"/>
    <mergeCell ref="M576:M577"/>
    <mergeCell ref="N576:N577"/>
    <mergeCell ref="O576:O577"/>
    <mergeCell ref="A539:A540"/>
    <mergeCell ref="B539:D540"/>
    <mergeCell ref="N545:N546"/>
    <mergeCell ref="O545:O546"/>
    <mergeCell ref="P545:P546"/>
    <mergeCell ref="Q545:Q546"/>
    <mergeCell ref="G545:G546"/>
    <mergeCell ref="H545:H546"/>
    <mergeCell ref="I545:I546"/>
    <mergeCell ref="J545:J546"/>
    <mergeCell ref="K545:K546"/>
    <mergeCell ref="L545:L546"/>
    <mergeCell ref="M545:M546"/>
    <mergeCell ref="B541:D541"/>
    <mergeCell ref="B542:D542"/>
    <mergeCell ref="B543:D543"/>
    <mergeCell ref="B544:D544"/>
    <mergeCell ref="A545:A546"/>
    <mergeCell ref="B545:D546"/>
    <mergeCell ref="F545:F546"/>
    <mergeCell ref="A531:A532"/>
    <mergeCell ref="B531:D532"/>
    <mergeCell ref="F531:F532"/>
    <mergeCell ref="G531:G532"/>
    <mergeCell ref="B555:D555"/>
    <mergeCell ref="A560:A561"/>
    <mergeCell ref="B560:D561"/>
    <mergeCell ref="B554:D554"/>
    <mergeCell ref="B548:D548"/>
    <mergeCell ref="B550:D550"/>
    <mergeCell ref="B551:D551"/>
    <mergeCell ref="B552:D552"/>
    <mergeCell ref="B553:D553"/>
    <mergeCell ref="A559:R559"/>
    <mergeCell ref="N560:Q560"/>
    <mergeCell ref="M539:M540"/>
    <mergeCell ref="N539:N540"/>
    <mergeCell ref="O539:O540"/>
    <mergeCell ref="P539:P540"/>
    <mergeCell ref="Q539:Q540"/>
    <mergeCell ref="F539:F540"/>
    <mergeCell ref="G539:G540"/>
    <mergeCell ref="H539:H540"/>
    <mergeCell ref="I539:I540"/>
    <mergeCell ref="J539:J540"/>
    <mergeCell ref="K539:K540"/>
    <mergeCell ref="L539:L540"/>
    <mergeCell ref="B533:D533"/>
    <mergeCell ref="B534:D534"/>
    <mergeCell ref="B536:D536"/>
    <mergeCell ref="B537:D537"/>
    <mergeCell ref="B538:D538"/>
    <mergeCell ref="B521:D521"/>
    <mergeCell ref="B522:D522"/>
    <mergeCell ref="B523:D523"/>
    <mergeCell ref="B524:D524"/>
    <mergeCell ref="B525:D525"/>
    <mergeCell ref="B526:D526"/>
    <mergeCell ref="B527:D527"/>
    <mergeCell ref="O531:O532"/>
    <mergeCell ref="P531:P532"/>
    <mergeCell ref="Q531:Q532"/>
    <mergeCell ref="H531:H532"/>
    <mergeCell ref="I531:I532"/>
    <mergeCell ref="J531:J532"/>
    <mergeCell ref="K531:K532"/>
    <mergeCell ref="L531:L532"/>
    <mergeCell ref="M531:M532"/>
    <mergeCell ref="N531:N532"/>
    <mergeCell ref="B528:D528"/>
    <mergeCell ref="B529:D529"/>
    <mergeCell ref="B530:D530"/>
    <mergeCell ref="B516:D516"/>
    <mergeCell ref="P519:P520"/>
    <mergeCell ref="Q519:Q520"/>
    <mergeCell ref="I519:I520"/>
    <mergeCell ref="J519:J520"/>
    <mergeCell ref="K519:K520"/>
    <mergeCell ref="L519:L520"/>
    <mergeCell ref="M519:M520"/>
    <mergeCell ref="N519:N520"/>
    <mergeCell ref="O519:O520"/>
    <mergeCell ref="B517:D517"/>
    <mergeCell ref="B518:D518"/>
    <mergeCell ref="A519:A520"/>
    <mergeCell ref="B519:D520"/>
    <mergeCell ref="F519:F520"/>
    <mergeCell ref="G519:G520"/>
    <mergeCell ref="H519:H520"/>
    <mergeCell ref="B509:D509"/>
    <mergeCell ref="B511:D511"/>
    <mergeCell ref="A513:R513"/>
    <mergeCell ref="B501:D501"/>
    <mergeCell ref="B502:D502"/>
    <mergeCell ref="B504:D504"/>
    <mergeCell ref="B505:D505"/>
    <mergeCell ref="B506:D506"/>
    <mergeCell ref="B507:D507"/>
    <mergeCell ref="B508:D508"/>
    <mergeCell ref="B510:D510"/>
    <mergeCell ref="A514:A515"/>
    <mergeCell ref="B514:D515"/>
    <mergeCell ref="F514:H514"/>
    <mergeCell ref="I514:I515"/>
    <mergeCell ref="J514:M514"/>
    <mergeCell ref="N514:Q514"/>
    <mergeCell ref="A485:A486"/>
    <mergeCell ref="B485:D486"/>
    <mergeCell ref="F485:F486"/>
    <mergeCell ref="G485:G486"/>
    <mergeCell ref="H485:H486"/>
    <mergeCell ref="B487:D487"/>
    <mergeCell ref="B488:D488"/>
    <mergeCell ref="B489:D489"/>
    <mergeCell ref="B491:D491"/>
    <mergeCell ref="B492:D492"/>
    <mergeCell ref="B493:D493"/>
    <mergeCell ref="B494:D494"/>
    <mergeCell ref="N499:N500"/>
    <mergeCell ref="O499:O500"/>
    <mergeCell ref="P499:P500"/>
    <mergeCell ref="Q499:Q500"/>
    <mergeCell ref="G499:G500"/>
    <mergeCell ref="H499:H500"/>
    <mergeCell ref="I499:I500"/>
    <mergeCell ref="J499:J500"/>
    <mergeCell ref="K499:K500"/>
    <mergeCell ref="L499:L500"/>
    <mergeCell ref="M499:M500"/>
    <mergeCell ref="B495:D495"/>
    <mergeCell ref="B496:D496"/>
    <mergeCell ref="B497:D497"/>
    <mergeCell ref="B498:D498"/>
    <mergeCell ref="A499:A500"/>
    <mergeCell ref="B499:D500"/>
    <mergeCell ref="F499:F500"/>
    <mergeCell ref="P485:P486"/>
    <mergeCell ref="Q485:Q486"/>
    <mergeCell ref="N469:Q469"/>
    <mergeCell ref="O474:O475"/>
    <mergeCell ref="P474:P475"/>
    <mergeCell ref="Q474:Q475"/>
    <mergeCell ref="H474:H475"/>
    <mergeCell ref="I474:I475"/>
    <mergeCell ref="J474:J475"/>
    <mergeCell ref="K474:K475"/>
    <mergeCell ref="L474:L475"/>
    <mergeCell ref="M474:M475"/>
    <mergeCell ref="N474:N475"/>
    <mergeCell ref="B471:D471"/>
    <mergeCell ref="B472:D472"/>
    <mergeCell ref="B473:D473"/>
    <mergeCell ref="A474:A475"/>
    <mergeCell ref="B474:D475"/>
    <mergeCell ref="F474:F475"/>
    <mergeCell ref="G474:G475"/>
    <mergeCell ref="I485:I486"/>
    <mergeCell ref="J485:J486"/>
    <mergeCell ref="K485:K486"/>
    <mergeCell ref="L485:L486"/>
    <mergeCell ref="M485:M486"/>
    <mergeCell ref="N485:N486"/>
    <mergeCell ref="O485:O486"/>
    <mergeCell ref="B458:D458"/>
    <mergeCell ref="B459:D459"/>
    <mergeCell ref="B460:D460"/>
    <mergeCell ref="B461:D461"/>
    <mergeCell ref="B462:D462"/>
    <mergeCell ref="B463:D463"/>
    <mergeCell ref="B465:D46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64:D464"/>
    <mergeCell ref="B466:D466"/>
    <mergeCell ref="A468:R468"/>
    <mergeCell ref="A469:A470"/>
    <mergeCell ref="B469:D470"/>
    <mergeCell ref="E469:E470"/>
    <mergeCell ref="F469:H469"/>
    <mergeCell ref="I469:I470"/>
    <mergeCell ref="J469:M469"/>
    <mergeCell ref="A427:A429"/>
    <mergeCell ref="B427:D429"/>
    <mergeCell ref="F427:F429"/>
    <mergeCell ref="G427:G429"/>
    <mergeCell ref="H427:H429"/>
    <mergeCell ref="B437:D437"/>
    <mergeCell ref="B438:D438"/>
    <mergeCell ref="B439:D439"/>
    <mergeCell ref="A440:A441"/>
    <mergeCell ref="B440:D441"/>
    <mergeCell ref="F440:F441"/>
    <mergeCell ref="G440:G441"/>
    <mergeCell ref="O440:O441"/>
    <mergeCell ref="P440:P441"/>
    <mergeCell ref="Q440:Q441"/>
    <mergeCell ref="H440:H441"/>
    <mergeCell ref="I440:I441"/>
    <mergeCell ref="J440:J441"/>
    <mergeCell ref="K440:K441"/>
    <mergeCell ref="L440:L441"/>
    <mergeCell ref="M440:M441"/>
    <mergeCell ref="N440:N441"/>
    <mergeCell ref="B430:D430"/>
    <mergeCell ref="B431:D431"/>
    <mergeCell ref="B432:D432"/>
    <mergeCell ref="B433:D433"/>
    <mergeCell ref="B434:D434"/>
    <mergeCell ref="B435:D435"/>
    <mergeCell ref="B436:D436"/>
    <mergeCell ref="B417:D417"/>
    <mergeCell ref="B409:D409"/>
    <mergeCell ref="B410:D410"/>
    <mergeCell ref="B412:D412"/>
    <mergeCell ref="B413:D413"/>
    <mergeCell ref="B414:D414"/>
    <mergeCell ref="B415:D415"/>
    <mergeCell ref="B416:D416"/>
    <mergeCell ref="I427:I429"/>
    <mergeCell ref="J427:J429"/>
    <mergeCell ref="K427:K429"/>
    <mergeCell ref="L427:L429"/>
    <mergeCell ref="M427:M429"/>
    <mergeCell ref="N427:N429"/>
    <mergeCell ref="O427:O429"/>
    <mergeCell ref="B425:D425"/>
    <mergeCell ref="B426:D426"/>
    <mergeCell ref="B214:D214"/>
    <mergeCell ref="P407:P408"/>
    <mergeCell ref="Q407:Q408"/>
    <mergeCell ref="I407:I408"/>
    <mergeCell ref="J407:J408"/>
    <mergeCell ref="K407:K408"/>
    <mergeCell ref="L407:L408"/>
    <mergeCell ref="M407:M408"/>
    <mergeCell ref="N407:N408"/>
    <mergeCell ref="O407:O408"/>
    <mergeCell ref="B405:D405"/>
    <mergeCell ref="B406:D406"/>
    <mergeCell ref="A407:A408"/>
    <mergeCell ref="B407:D408"/>
    <mergeCell ref="F407:F408"/>
    <mergeCell ref="G407:G408"/>
    <mergeCell ref="H407:H408"/>
    <mergeCell ref="Q221:Q222"/>
    <mergeCell ref="B220:D220"/>
    <mergeCell ref="A221:A222"/>
    <mergeCell ref="B221:D222"/>
    <mergeCell ref="F221:F222"/>
    <mergeCell ref="G221:G222"/>
    <mergeCell ref="H221:H222"/>
    <mergeCell ref="I221:I222"/>
    <mergeCell ref="K223:K224"/>
    <mergeCell ref="L223:L224"/>
    <mergeCell ref="M223:M224"/>
    <mergeCell ref="N223:N224"/>
    <mergeCell ref="O223:O224"/>
    <mergeCell ref="P223:P224"/>
    <mergeCell ref="Q223:Q224"/>
    <mergeCell ref="B343:D343"/>
    <mergeCell ref="I422:I423"/>
    <mergeCell ref="J560:M560"/>
    <mergeCell ref="B96:D96"/>
    <mergeCell ref="B95:D95"/>
    <mergeCell ref="B187:D187"/>
    <mergeCell ref="B376:D376"/>
    <mergeCell ref="B419:D419"/>
    <mergeCell ref="B557:D557"/>
    <mergeCell ref="B556:D556"/>
    <mergeCell ref="B603:D603"/>
    <mergeCell ref="B648:D648"/>
    <mergeCell ref="B647:D647"/>
    <mergeCell ref="B397:D397"/>
    <mergeCell ref="B398:D398"/>
    <mergeCell ref="B400:D400"/>
    <mergeCell ref="B401:D401"/>
    <mergeCell ref="B402:D402"/>
    <mergeCell ref="B403:D403"/>
    <mergeCell ref="B404:D404"/>
    <mergeCell ref="A421:R421"/>
    <mergeCell ref="B418:D418"/>
    <mergeCell ref="A422:A423"/>
    <mergeCell ref="B422:D423"/>
    <mergeCell ref="E422:E423"/>
    <mergeCell ref="F422:H422"/>
    <mergeCell ref="J422:M422"/>
    <mergeCell ref="N422:Q422"/>
    <mergeCell ref="B424:D424"/>
    <mergeCell ref="P427:P429"/>
    <mergeCell ref="Q427:Q429"/>
    <mergeCell ref="B321:D321"/>
  </mergeCells>
  <conditionalFormatting sqref="E351">
    <cfRule type="notContainsBlanks" dxfId="1" priority="1">
      <formula>LEN(TRIM(E351))&gt;0</formula>
    </cfRule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  <rowBreaks count="14" manualBreakCount="14">
    <brk id="50" max="16383" man="1"/>
    <brk id="96" max="16383" man="1"/>
    <brk id="140" max="16383" man="1"/>
    <brk id="187" max="16383" man="1"/>
    <brk id="234" max="16383" man="1"/>
    <brk id="281" max="16383" man="1"/>
    <brk id="331" max="16383" man="1"/>
    <brk id="376" max="16383" man="1"/>
    <brk id="419" max="16383" man="1"/>
    <brk id="466" max="16383" man="1"/>
    <brk id="511" max="16383" man="1"/>
    <brk id="557" max="16383" man="1"/>
    <brk id="603" max="16383" man="1"/>
    <brk id="6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45"/>
  <sheetViews>
    <sheetView tabSelected="1" topLeftCell="A113" zoomScale="82" zoomScaleNormal="82" workbookViewId="0">
      <selection activeCell="A136" sqref="A136:XFD136"/>
    </sheetView>
  </sheetViews>
  <sheetFormatPr defaultRowHeight="15" x14ac:dyDescent="0.25"/>
  <cols>
    <col min="1" max="1" width="10.7109375" customWidth="1"/>
    <col min="2" max="4" width="15.7109375" customWidth="1"/>
    <col min="5" max="17" width="10.7109375" customWidth="1"/>
  </cols>
  <sheetData>
    <row r="1" spans="1:18" ht="15.75" x14ac:dyDescent="0.25">
      <c r="A1" s="339"/>
      <c r="B1" s="339"/>
      <c r="C1" s="339"/>
      <c r="D1" s="651" t="s">
        <v>0</v>
      </c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339"/>
      <c r="Q1" s="339"/>
      <c r="R1" s="339"/>
    </row>
    <row r="2" spans="1:18" ht="15.75" x14ac:dyDescent="0.25">
      <c r="A2" s="339"/>
      <c r="B2" s="339"/>
      <c r="C2" s="339"/>
      <c r="D2" s="339"/>
      <c r="E2" s="339"/>
      <c r="F2" s="655" t="s">
        <v>1</v>
      </c>
      <c r="G2" s="655"/>
      <c r="H2" s="655"/>
      <c r="I2" s="655"/>
      <c r="J2" s="655"/>
      <c r="K2" s="655"/>
      <c r="L2" s="655"/>
      <c r="M2" s="339"/>
      <c r="N2" s="339"/>
      <c r="O2" s="339"/>
      <c r="P2" s="339"/>
      <c r="Q2" s="339"/>
      <c r="R2" s="339"/>
    </row>
    <row r="3" spans="1:18" ht="15" customHeight="1" x14ac:dyDescent="0.25">
      <c r="A3" s="653" t="s">
        <v>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</row>
    <row r="4" spans="1:18" ht="15.75" x14ac:dyDescent="0.25">
      <c r="A4" s="526" t="s">
        <v>3</v>
      </c>
      <c r="B4" s="766" t="s">
        <v>4</v>
      </c>
      <c r="C4" s="767"/>
      <c r="D4" s="768"/>
      <c r="E4" s="529" t="s">
        <v>5</v>
      </c>
      <c r="F4" s="530" t="s">
        <v>6</v>
      </c>
      <c r="G4" s="440"/>
      <c r="H4" s="441"/>
      <c r="I4" s="529" t="s">
        <v>7</v>
      </c>
      <c r="J4" s="530" t="s">
        <v>8</v>
      </c>
      <c r="K4" s="440"/>
      <c r="L4" s="440"/>
      <c r="M4" s="441"/>
      <c r="N4" s="530" t="s">
        <v>9</v>
      </c>
      <c r="O4" s="440"/>
      <c r="P4" s="440"/>
      <c r="Q4" s="441"/>
      <c r="R4" s="1"/>
    </row>
    <row r="5" spans="1:18" ht="15.75" x14ac:dyDescent="0.25">
      <c r="A5" s="527"/>
      <c r="B5" s="769"/>
      <c r="C5" s="770"/>
      <c r="D5" s="771"/>
      <c r="E5" s="527"/>
      <c r="F5" s="34" t="s">
        <v>10</v>
      </c>
      <c r="G5" s="34" t="s">
        <v>11</v>
      </c>
      <c r="H5" s="34" t="s">
        <v>12</v>
      </c>
      <c r="I5" s="527"/>
      <c r="J5" s="34" t="s">
        <v>13</v>
      </c>
      <c r="K5" s="34" t="s">
        <v>14</v>
      </c>
      <c r="L5" s="34" t="s">
        <v>15</v>
      </c>
      <c r="M5" s="34" t="s">
        <v>16</v>
      </c>
      <c r="N5" s="34" t="s">
        <v>17</v>
      </c>
      <c r="O5" s="34" t="s">
        <v>18</v>
      </c>
      <c r="P5" s="34" t="s">
        <v>19</v>
      </c>
      <c r="Q5" s="34" t="s">
        <v>20</v>
      </c>
      <c r="R5" s="1"/>
    </row>
    <row r="6" spans="1:18" x14ac:dyDescent="0.25">
      <c r="A6" s="9">
        <v>1</v>
      </c>
      <c r="B6" s="532">
        <v>2</v>
      </c>
      <c r="C6" s="440"/>
      <c r="D6" s="441"/>
      <c r="E6" s="57">
        <v>3</v>
      </c>
      <c r="F6" s="57">
        <v>4</v>
      </c>
      <c r="G6" s="57">
        <v>5</v>
      </c>
      <c r="H6" s="57">
        <v>6</v>
      </c>
      <c r="I6" s="57">
        <v>7</v>
      </c>
      <c r="J6" s="57">
        <v>8</v>
      </c>
      <c r="K6" s="57">
        <v>9</v>
      </c>
      <c r="L6" s="57">
        <v>10</v>
      </c>
      <c r="M6" s="57">
        <v>11</v>
      </c>
      <c r="N6" s="57">
        <v>12</v>
      </c>
      <c r="O6" s="57">
        <v>13</v>
      </c>
      <c r="P6" s="57">
        <v>14</v>
      </c>
      <c r="Q6" s="57">
        <v>15</v>
      </c>
      <c r="R6" s="1"/>
    </row>
    <row r="7" spans="1:18" ht="15.75" x14ac:dyDescent="0.25">
      <c r="A7" s="38"/>
      <c r="B7" s="483" t="s">
        <v>21</v>
      </c>
      <c r="C7" s="484"/>
      <c r="D7" s="48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"/>
    </row>
    <row r="8" spans="1:18" ht="15.75" x14ac:dyDescent="0.25">
      <c r="A8" s="74">
        <v>3</v>
      </c>
      <c r="B8" s="439" t="s">
        <v>154</v>
      </c>
      <c r="C8" s="440"/>
      <c r="D8" s="441"/>
      <c r="E8" s="106" t="s">
        <v>155</v>
      </c>
      <c r="F8" s="106">
        <v>6.23</v>
      </c>
      <c r="G8" s="106">
        <v>10.83</v>
      </c>
      <c r="H8" s="106">
        <v>23.46</v>
      </c>
      <c r="I8" s="106">
        <v>216.14</v>
      </c>
      <c r="J8" s="132">
        <v>8.5000000000000006E-2</v>
      </c>
      <c r="K8" s="132">
        <v>0.19</v>
      </c>
      <c r="L8" s="106">
        <v>3.1E-2</v>
      </c>
      <c r="M8" s="106">
        <v>3.5999999999999997E-2</v>
      </c>
      <c r="N8" s="106">
        <v>134.9</v>
      </c>
      <c r="O8" s="106">
        <v>110.28</v>
      </c>
      <c r="P8" s="106">
        <v>23.44</v>
      </c>
      <c r="Q8" s="106">
        <v>0.89</v>
      </c>
      <c r="R8" s="17"/>
    </row>
    <row r="9" spans="1:18" ht="15.75" x14ac:dyDescent="0.25">
      <c r="A9" s="551">
        <v>174</v>
      </c>
      <c r="B9" s="542" t="s">
        <v>156</v>
      </c>
      <c r="C9" s="476"/>
      <c r="D9" s="477"/>
      <c r="E9" s="106">
        <v>200</v>
      </c>
      <c r="F9" s="470">
        <v>7.74</v>
      </c>
      <c r="G9" s="470">
        <v>9.75</v>
      </c>
      <c r="H9" s="470">
        <v>44.01</v>
      </c>
      <c r="I9" s="470">
        <v>295</v>
      </c>
      <c r="J9" s="470">
        <v>0.08</v>
      </c>
      <c r="K9" s="470">
        <v>1.6</v>
      </c>
      <c r="L9" s="470">
        <v>3.2000000000000001E-2</v>
      </c>
      <c r="M9" s="470">
        <v>0.108</v>
      </c>
      <c r="N9" s="470">
        <v>198.6</v>
      </c>
      <c r="O9" s="470">
        <v>163.4</v>
      </c>
      <c r="P9" s="470">
        <v>26</v>
      </c>
      <c r="Q9" s="470">
        <v>0.4</v>
      </c>
      <c r="R9" s="17"/>
    </row>
    <row r="10" spans="1:18" ht="15.75" x14ac:dyDescent="0.25">
      <c r="A10" s="527"/>
      <c r="B10" s="478"/>
      <c r="C10" s="479"/>
      <c r="D10" s="480"/>
      <c r="E10" s="106">
        <f>E9*2.5/100</f>
        <v>5</v>
      </c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17"/>
    </row>
    <row r="11" spans="1:18" ht="15.75" x14ac:dyDescent="0.25">
      <c r="A11" s="74" t="s">
        <v>27</v>
      </c>
      <c r="B11" s="439" t="s">
        <v>28</v>
      </c>
      <c r="C11" s="440"/>
      <c r="D11" s="441"/>
      <c r="E11" s="99">
        <v>45</v>
      </c>
      <c r="F11" s="117">
        <f>2.26*E11/30</f>
        <v>3.3899999999999997</v>
      </c>
      <c r="G11" s="117">
        <f>0.23*E11/30</f>
        <v>0.34499999999999997</v>
      </c>
      <c r="H11" s="117">
        <f>14.66*E11/30</f>
        <v>21.990000000000002</v>
      </c>
      <c r="I11" s="117">
        <f>68.86*E11/30</f>
        <v>103.28999999999999</v>
      </c>
      <c r="J11" s="117">
        <v>0</v>
      </c>
      <c r="K11" s="117">
        <v>0</v>
      </c>
      <c r="L11" s="117">
        <v>0</v>
      </c>
      <c r="M11" s="117">
        <v>0</v>
      </c>
      <c r="N11" s="117">
        <f>12.97*E11/30</f>
        <v>19.454999999999998</v>
      </c>
      <c r="O11" s="117">
        <v>0</v>
      </c>
      <c r="P11" s="117">
        <f>2.83*E11/30</f>
        <v>4.2450000000000001</v>
      </c>
      <c r="Q11" s="117">
        <f>0.74*E11/30</f>
        <v>1.1099999999999999</v>
      </c>
      <c r="R11" s="29"/>
    </row>
    <row r="12" spans="1:18" ht="15.75" x14ac:dyDescent="0.25">
      <c r="A12" s="74">
        <v>375</v>
      </c>
      <c r="B12" s="439" t="s">
        <v>157</v>
      </c>
      <c r="C12" s="440"/>
      <c r="D12" s="441"/>
      <c r="E12" s="106" t="s">
        <v>158</v>
      </c>
      <c r="F12" s="106">
        <v>1.52</v>
      </c>
      <c r="G12" s="106">
        <v>1.35</v>
      </c>
      <c r="H12" s="106">
        <v>15.9</v>
      </c>
      <c r="I12" s="106">
        <v>81</v>
      </c>
      <c r="J12" s="106">
        <v>0</v>
      </c>
      <c r="K12" s="106">
        <v>1.33</v>
      </c>
      <c r="L12" s="106">
        <v>0</v>
      </c>
      <c r="M12" s="106">
        <v>0</v>
      </c>
      <c r="N12" s="106">
        <v>126.6</v>
      </c>
      <c r="O12" s="106">
        <v>0</v>
      </c>
      <c r="P12" s="106">
        <v>15.4</v>
      </c>
      <c r="Q12" s="106">
        <v>0.41</v>
      </c>
      <c r="R12" s="29"/>
    </row>
    <row r="13" spans="1:18" ht="15.75" x14ac:dyDescent="0.25">
      <c r="A13" s="74"/>
      <c r="B13" s="422" t="s">
        <v>29</v>
      </c>
      <c r="C13" s="423"/>
      <c r="D13" s="424"/>
      <c r="E13" s="106">
        <f>SUM(E8:E12)+150+5+15</f>
        <v>420</v>
      </c>
      <c r="F13" s="117">
        <f t="shared" ref="F13:Q13" si="0">SUM(F8:F12)</f>
        <v>18.88</v>
      </c>
      <c r="G13" s="117">
        <f t="shared" si="0"/>
        <v>22.274999999999999</v>
      </c>
      <c r="H13" s="117">
        <f t="shared" si="0"/>
        <v>105.36000000000001</v>
      </c>
      <c r="I13" s="117">
        <f t="shared" si="0"/>
        <v>695.43</v>
      </c>
      <c r="J13" s="117">
        <f t="shared" si="0"/>
        <v>0.16500000000000001</v>
      </c>
      <c r="K13" s="117">
        <f t="shared" si="0"/>
        <v>3.12</v>
      </c>
      <c r="L13" s="117">
        <f t="shared" si="0"/>
        <v>6.3E-2</v>
      </c>
      <c r="M13" s="117">
        <f t="shared" si="0"/>
        <v>0.14399999999999999</v>
      </c>
      <c r="N13" s="117">
        <f t="shared" si="0"/>
        <v>479.55499999999995</v>
      </c>
      <c r="O13" s="117">
        <f t="shared" si="0"/>
        <v>273.68</v>
      </c>
      <c r="P13" s="117">
        <f t="shared" si="0"/>
        <v>69.084999999999994</v>
      </c>
      <c r="Q13" s="117">
        <f t="shared" si="0"/>
        <v>2.81</v>
      </c>
      <c r="R13" s="17"/>
    </row>
    <row r="14" spans="1:18" ht="15.75" x14ac:dyDescent="0.25">
      <c r="A14" s="38"/>
      <c r="B14" s="522" t="s">
        <v>30</v>
      </c>
      <c r="C14" s="446"/>
      <c r="D14" s="447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"/>
    </row>
    <row r="15" spans="1:18" ht="15.75" x14ac:dyDescent="0.25">
      <c r="A15" s="20">
        <v>338</v>
      </c>
      <c r="B15" s="482" t="s">
        <v>31</v>
      </c>
      <c r="C15" s="440"/>
      <c r="D15" s="441"/>
      <c r="E15" s="133">
        <v>300</v>
      </c>
      <c r="F15" s="133">
        <v>1.2</v>
      </c>
      <c r="G15" s="134">
        <v>1.2</v>
      </c>
      <c r="H15" s="133">
        <v>29.4</v>
      </c>
      <c r="I15" s="133">
        <v>132</v>
      </c>
      <c r="J15" s="133">
        <v>0</v>
      </c>
      <c r="K15" s="133">
        <v>30</v>
      </c>
      <c r="L15" s="133">
        <v>0</v>
      </c>
      <c r="M15" s="133">
        <v>0</v>
      </c>
      <c r="N15" s="133">
        <v>48</v>
      </c>
      <c r="O15" s="133">
        <v>0</v>
      </c>
      <c r="P15" s="133">
        <v>27</v>
      </c>
      <c r="Q15" s="133">
        <v>6.6</v>
      </c>
      <c r="R15" s="39"/>
    </row>
    <row r="16" spans="1:18" ht="15.75" x14ac:dyDescent="0.25">
      <c r="A16" s="74"/>
      <c r="B16" s="442" t="s">
        <v>112</v>
      </c>
      <c r="C16" s="472"/>
      <c r="D16" s="473"/>
      <c r="E16" s="106">
        <f>E15</f>
        <v>300</v>
      </c>
      <c r="F16" s="106">
        <f t="shared" ref="F16:Q16" si="1">SUM(F15)</f>
        <v>1.2</v>
      </c>
      <c r="G16" s="132">
        <f t="shared" si="1"/>
        <v>1.2</v>
      </c>
      <c r="H16" s="106">
        <f t="shared" si="1"/>
        <v>29.4</v>
      </c>
      <c r="I16" s="106">
        <f t="shared" si="1"/>
        <v>132</v>
      </c>
      <c r="J16" s="106">
        <f t="shared" si="1"/>
        <v>0</v>
      </c>
      <c r="K16" s="106">
        <f t="shared" si="1"/>
        <v>30</v>
      </c>
      <c r="L16" s="106">
        <f t="shared" si="1"/>
        <v>0</v>
      </c>
      <c r="M16" s="106">
        <f t="shared" si="1"/>
        <v>0</v>
      </c>
      <c r="N16" s="106">
        <f t="shared" si="1"/>
        <v>48</v>
      </c>
      <c r="O16" s="106">
        <f t="shared" si="1"/>
        <v>0</v>
      </c>
      <c r="P16" s="106">
        <f t="shared" si="1"/>
        <v>27</v>
      </c>
      <c r="Q16" s="106">
        <f t="shared" si="1"/>
        <v>6.6</v>
      </c>
      <c r="R16" s="17"/>
    </row>
    <row r="17" spans="1:18" ht="15.75" x14ac:dyDescent="0.25">
      <c r="A17" s="38"/>
      <c r="B17" s="522" t="s">
        <v>33</v>
      </c>
      <c r="C17" s="446"/>
      <c r="D17" s="447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"/>
    </row>
    <row r="18" spans="1:18" ht="15.75" x14ac:dyDescent="0.25">
      <c r="A18" s="74">
        <v>49</v>
      </c>
      <c r="B18" s="436" t="s">
        <v>223</v>
      </c>
      <c r="C18" s="440"/>
      <c r="D18" s="441"/>
      <c r="E18" s="100">
        <v>100</v>
      </c>
      <c r="F18" s="117">
        <v>2.59</v>
      </c>
      <c r="G18" s="117">
        <v>6.22</v>
      </c>
      <c r="H18" s="117">
        <v>22.14</v>
      </c>
      <c r="I18" s="117">
        <v>154.9</v>
      </c>
      <c r="J18" s="117">
        <f>0*E18/100</f>
        <v>0</v>
      </c>
      <c r="K18" s="117">
        <v>31.5</v>
      </c>
      <c r="L18" s="117">
        <v>0</v>
      </c>
      <c r="M18" s="117">
        <v>0</v>
      </c>
      <c r="N18" s="117">
        <v>31.96</v>
      </c>
      <c r="O18" s="117">
        <v>0</v>
      </c>
      <c r="P18" s="117">
        <v>18.41</v>
      </c>
      <c r="Q18" s="117">
        <v>0.96</v>
      </c>
      <c r="R18" s="17"/>
    </row>
    <row r="19" spans="1:18" s="354" customFormat="1" x14ac:dyDescent="0.25">
      <c r="A19" s="548">
        <v>96</v>
      </c>
      <c r="B19" s="542" t="s">
        <v>141</v>
      </c>
      <c r="C19" s="476"/>
      <c r="D19" s="477"/>
      <c r="E19" s="128">
        <v>300</v>
      </c>
      <c r="F19" s="807">
        <f>2.42*(E19+E20)/(300+10)</f>
        <v>2.4201561290322577</v>
      </c>
      <c r="G19" s="807">
        <f>6.1*(E19+E20)/(300+10)</f>
        <v>6.1003935483870961</v>
      </c>
      <c r="H19" s="819">
        <f>14.37*(E19+E20)/(300+10)</f>
        <v>14.37092709677419</v>
      </c>
      <c r="I19" s="807">
        <f>128.7*(E19+E20)/(300+10)</f>
        <v>128.70830322580642</v>
      </c>
      <c r="J19" s="807">
        <v>0</v>
      </c>
      <c r="K19" s="807">
        <f>10.05*(E19+E20)/(300+10)</f>
        <v>10.050648387096775</v>
      </c>
      <c r="L19" s="807">
        <v>0</v>
      </c>
      <c r="M19" s="807">
        <v>0</v>
      </c>
      <c r="N19" s="807">
        <f>34.98*(E19+E20)/(300+10)</f>
        <v>34.982256774193544</v>
      </c>
      <c r="O19" s="807">
        <v>0</v>
      </c>
      <c r="P19" s="807">
        <f>29.01*(E19+E20)/(300+10)</f>
        <v>29.011871612903228</v>
      </c>
      <c r="Q19" s="807">
        <f>1.11*(E19+E20)/(300+10)</f>
        <v>1.110071612903226</v>
      </c>
      <c r="R19" s="221"/>
    </row>
    <row r="20" spans="1:18" ht="17.25" customHeight="1" x14ac:dyDescent="0.25">
      <c r="A20" s="527"/>
      <c r="B20" s="478"/>
      <c r="C20" s="479"/>
      <c r="D20" s="480"/>
      <c r="E20" s="161">
        <f>E19*3.34/100</f>
        <v>10.02</v>
      </c>
      <c r="F20" s="808"/>
      <c r="G20" s="808"/>
      <c r="H20" s="820"/>
      <c r="I20" s="808"/>
      <c r="J20" s="808"/>
      <c r="K20" s="808"/>
      <c r="L20" s="808"/>
      <c r="M20" s="808"/>
      <c r="N20" s="808"/>
      <c r="O20" s="808"/>
      <c r="P20" s="808"/>
      <c r="Q20" s="808"/>
      <c r="R20" s="17"/>
    </row>
    <row r="21" spans="1:18" s="354" customFormat="1" ht="12.75" customHeight="1" x14ac:dyDescent="0.25">
      <c r="A21" s="797">
        <v>256</v>
      </c>
      <c r="B21" s="799" t="s">
        <v>187</v>
      </c>
      <c r="C21" s="800"/>
      <c r="D21" s="801"/>
      <c r="E21" s="161">
        <v>100</v>
      </c>
      <c r="F21" s="805">
        <v>30.4</v>
      </c>
      <c r="G21" s="805">
        <v>34.76</v>
      </c>
      <c r="H21" s="805">
        <v>5.12</v>
      </c>
      <c r="I21" s="805">
        <v>450</v>
      </c>
      <c r="J21" s="805">
        <v>0</v>
      </c>
      <c r="K21" s="805">
        <v>0.54</v>
      </c>
      <c r="L21" s="805">
        <v>0</v>
      </c>
      <c r="M21" s="805">
        <v>0</v>
      </c>
      <c r="N21" s="805">
        <v>42.45</v>
      </c>
      <c r="O21" s="805">
        <v>0</v>
      </c>
      <c r="P21" s="805">
        <v>46.12</v>
      </c>
      <c r="Q21" s="805">
        <v>4.8899999999999997</v>
      </c>
      <c r="R21" s="221"/>
    </row>
    <row r="22" spans="1:18" ht="12" customHeight="1" x14ac:dyDescent="0.25">
      <c r="A22" s="798"/>
      <c r="B22" s="802"/>
      <c r="C22" s="803"/>
      <c r="D22" s="804"/>
      <c r="E22" s="122">
        <v>100</v>
      </c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18"/>
    </row>
    <row r="23" spans="1:18" ht="15.75" x14ac:dyDescent="0.25">
      <c r="A23" s="16">
        <v>202</v>
      </c>
      <c r="B23" s="448" t="s">
        <v>161</v>
      </c>
      <c r="C23" s="440"/>
      <c r="D23" s="441"/>
      <c r="E23" s="128">
        <v>200</v>
      </c>
      <c r="F23" s="129">
        <f>7.54*E23/200</f>
        <v>7.54</v>
      </c>
      <c r="G23" s="129">
        <f>0.88*E23/200</f>
        <v>0.88</v>
      </c>
      <c r="H23" s="129">
        <f>42.55*E23/200</f>
        <v>42.55</v>
      </c>
      <c r="I23" s="142">
        <f>208.4*E23/200</f>
        <v>208.4</v>
      </c>
      <c r="J23" s="139">
        <v>0</v>
      </c>
      <c r="K23" s="139">
        <v>0</v>
      </c>
      <c r="L23" s="139">
        <v>0</v>
      </c>
      <c r="M23" s="139" t="s">
        <v>35</v>
      </c>
      <c r="N23" s="139">
        <f>14.91*E23/200</f>
        <v>14.91</v>
      </c>
      <c r="O23" s="139">
        <v>0</v>
      </c>
      <c r="P23" s="139">
        <f>11.48*E23/200</f>
        <v>11.48</v>
      </c>
      <c r="Q23" s="139">
        <f>1.13*E23/200</f>
        <v>1.1299999999999999</v>
      </c>
      <c r="R23" s="25"/>
    </row>
    <row r="24" spans="1:18" ht="15.75" x14ac:dyDescent="0.25">
      <c r="A24" s="74">
        <v>342</v>
      </c>
      <c r="B24" s="439" t="s">
        <v>38</v>
      </c>
      <c r="C24" s="440"/>
      <c r="D24" s="441"/>
      <c r="E24" s="100">
        <v>200</v>
      </c>
      <c r="F24" s="117">
        <v>0.08</v>
      </c>
      <c r="G24" s="117">
        <v>0</v>
      </c>
      <c r="H24" s="117">
        <v>21.82</v>
      </c>
      <c r="I24" s="117">
        <v>87.6</v>
      </c>
      <c r="J24" s="117">
        <v>0</v>
      </c>
      <c r="K24" s="117">
        <v>2.25</v>
      </c>
      <c r="L24" s="117">
        <v>0</v>
      </c>
      <c r="M24" s="117">
        <v>0</v>
      </c>
      <c r="N24" s="117">
        <v>17</v>
      </c>
      <c r="O24" s="117">
        <v>0</v>
      </c>
      <c r="P24" s="117">
        <v>9</v>
      </c>
      <c r="Q24" s="117">
        <v>2.2000000000000002</v>
      </c>
      <c r="R24" s="29"/>
    </row>
    <row r="25" spans="1:18" ht="15.75" x14ac:dyDescent="0.25">
      <c r="A25" s="74" t="s">
        <v>27</v>
      </c>
      <c r="B25" s="41" t="s">
        <v>39</v>
      </c>
      <c r="C25" s="41"/>
      <c r="D25" s="41"/>
      <c r="E25" s="99">
        <v>75</v>
      </c>
      <c r="F25" s="117">
        <f>4.03*E25/50</f>
        <v>6.0449999999999999</v>
      </c>
      <c r="G25" s="117">
        <f>0.5*E25/50</f>
        <v>0.75</v>
      </c>
      <c r="H25" s="117">
        <f>22.36*E25/50</f>
        <v>33.54</v>
      </c>
      <c r="I25" s="117">
        <f>98.86*E25/50</f>
        <v>148.29</v>
      </c>
      <c r="J25" s="117">
        <v>0</v>
      </c>
      <c r="K25" s="117">
        <v>0</v>
      </c>
      <c r="L25" s="117">
        <v>0</v>
      </c>
      <c r="M25" s="117">
        <v>0</v>
      </c>
      <c r="N25" s="117">
        <f>17.59*E25/50</f>
        <v>26.385000000000002</v>
      </c>
      <c r="O25" s="117">
        <v>0</v>
      </c>
      <c r="P25" s="117">
        <f>1.89*E25/50</f>
        <v>2.835</v>
      </c>
      <c r="Q25" s="117">
        <f>0.88*E25/50</f>
        <v>1.32</v>
      </c>
      <c r="R25" s="17"/>
    </row>
    <row r="26" spans="1:18" ht="15.75" x14ac:dyDescent="0.25">
      <c r="A26" s="74" t="s">
        <v>27</v>
      </c>
      <c r="B26" s="439" t="s">
        <v>28</v>
      </c>
      <c r="C26" s="440"/>
      <c r="D26" s="441"/>
      <c r="E26" s="99">
        <v>45</v>
      </c>
      <c r="F26" s="117">
        <f>2.26*E26/30</f>
        <v>3.3899999999999997</v>
      </c>
      <c r="G26" s="117">
        <v>0.57999999999999996</v>
      </c>
      <c r="H26" s="117">
        <f>14.66*E26/30</f>
        <v>21.990000000000002</v>
      </c>
      <c r="I26" s="117">
        <v>108.98</v>
      </c>
      <c r="J26" s="117">
        <v>0</v>
      </c>
      <c r="K26" s="117">
        <v>0</v>
      </c>
      <c r="L26" s="117">
        <v>0</v>
      </c>
      <c r="M26" s="117">
        <v>0</v>
      </c>
      <c r="N26" s="117">
        <f>12.97*E26/30</f>
        <v>19.454999999999998</v>
      </c>
      <c r="O26" s="117">
        <v>0</v>
      </c>
      <c r="P26" s="117">
        <f>2.83*E26/30</f>
        <v>4.2450000000000001</v>
      </c>
      <c r="Q26" s="369">
        <f>0.74*E26/30</f>
        <v>1.1099999999999999</v>
      </c>
      <c r="R26" s="221"/>
    </row>
    <row r="27" spans="1:18" ht="15.75" x14ac:dyDescent="0.25">
      <c r="A27" s="74"/>
      <c r="B27" s="442" t="s">
        <v>40</v>
      </c>
      <c r="C27" s="472"/>
      <c r="D27" s="473"/>
      <c r="E27" s="100">
        <f t="shared" ref="E27:Q27" si="2">SUM(E18:E26)</f>
        <v>1130.02</v>
      </c>
      <c r="F27" s="117">
        <f t="shared" si="2"/>
        <v>52.465156129032259</v>
      </c>
      <c r="G27" s="117">
        <f t="shared" si="2"/>
        <v>49.290393548387094</v>
      </c>
      <c r="H27" s="117">
        <f t="shared" si="2"/>
        <v>161.53092709677418</v>
      </c>
      <c r="I27" s="132">
        <f t="shared" si="2"/>
        <v>1286.8783032258063</v>
      </c>
      <c r="J27" s="117">
        <f t="shared" si="2"/>
        <v>0</v>
      </c>
      <c r="K27" s="117">
        <f t="shared" si="2"/>
        <v>44.34064838709677</v>
      </c>
      <c r="L27" s="117">
        <f t="shared" si="2"/>
        <v>0</v>
      </c>
      <c r="M27" s="117">
        <f t="shared" si="2"/>
        <v>0</v>
      </c>
      <c r="N27" s="117">
        <f t="shared" si="2"/>
        <v>187.14225677419353</v>
      </c>
      <c r="O27" s="117">
        <f t="shared" si="2"/>
        <v>0</v>
      </c>
      <c r="P27" s="117">
        <f t="shared" si="2"/>
        <v>121.10187161290324</v>
      </c>
      <c r="Q27" s="369">
        <f t="shared" si="2"/>
        <v>12.720071612903226</v>
      </c>
      <c r="R27" s="221"/>
    </row>
    <row r="28" spans="1:18" ht="15.75" x14ac:dyDescent="0.25">
      <c r="A28" s="38"/>
      <c r="B28" s="522" t="s">
        <v>41</v>
      </c>
      <c r="C28" s="446"/>
      <c r="D28" s="447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370"/>
      <c r="R28" s="367"/>
    </row>
    <row r="29" spans="1:18" ht="15" customHeight="1" x14ac:dyDescent="0.25">
      <c r="A29" s="384" t="s">
        <v>27</v>
      </c>
      <c r="B29" s="436" t="s">
        <v>222</v>
      </c>
      <c r="C29" s="440"/>
      <c r="D29" s="441"/>
      <c r="E29" s="95">
        <v>30</v>
      </c>
      <c r="F29" s="102">
        <v>2.82</v>
      </c>
      <c r="G29" s="102">
        <v>3.16</v>
      </c>
      <c r="H29" s="102">
        <v>29.96</v>
      </c>
      <c r="I29" s="102">
        <v>159.18</v>
      </c>
      <c r="J29" s="102">
        <v>0</v>
      </c>
      <c r="K29" s="102">
        <v>0.08</v>
      </c>
      <c r="L29" s="102">
        <v>0</v>
      </c>
      <c r="M29" s="102">
        <v>0</v>
      </c>
      <c r="N29" s="102">
        <v>8.1999999999999993</v>
      </c>
      <c r="O29" s="102">
        <v>0</v>
      </c>
      <c r="P29" s="102">
        <v>11.57</v>
      </c>
      <c r="Q29" s="371">
        <v>0.6</v>
      </c>
      <c r="R29" s="368"/>
    </row>
    <row r="30" spans="1:18" ht="15.75" x14ac:dyDescent="0.25">
      <c r="A30" s="53">
        <v>382</v>
      </c>
      <c r="B30" s="439" t="s">
        <v>58</v>
      </c>
      <c r="C30" s="440"/>
      <c r="D30" s="441"/>
      <c r="E30" s="154">
        <v>200</v>
      </c>
      <c r="F30" s="152">
        <v>3.76</v>
      </c>
      <c r="G30" s="152">
        <v>3.2</v>
      </c>
      <c r="H30" s="152">
        <v>17.57</v>
      </c>
      <c r="I30" s="152">
        <v>114.12</v>
      </c>
      <c r="J30" s="129">
        <v>0</v>
      </c>
      <c r="K30" s="129">
        <v>1.58</v>
      </c>
      <c r="L30" s="129">
        <v>0</v>
      </c>
      <c r="M30" s="152">
        <v>0</v>
      </c>
      <c r="N30" s="152">
        <v>152.22</v>
      </c>
      <c r="O30" s="152">
        <v>0</v>
      </c>
      <c r="P30" s="152">
        <v>21.34</v>
      </c>
      <c r="Q30" s="372">
        <v>0.47</v>
      </c>
      <c r="R30" s="367"/>
    </row>
    <row r="31" spans="1:18" ht="15.75" x14ac:dyDescent="0.25">
      <c r="A31" s="74"/>
      <c r="B31" s="442" t="s">
        <v>43</v>
      </c>
      <c r="C31" s="472"/>
      <c r="D31" s="473"/>
      <c r="E31" s="100">
        <f t="shared" ref="E31:Q31" si="3">E29+E30</f>
        <v>230</v>
      </c>
      <c r="F31" s="117">
        <f t="shared" si="3"/>
        <v>6.58</v>
      </c>
      <c r="G31" s="117">
        <f t="shared" si="3"/>
        <v>6.36</v>
      </c>
      <c r="H31" s="117">
        <f t="shared" si="3"/>
        <v>47.53</v>
      </c>
      <c r="I31" s="117">
        <f t="shared" si="3"/>
        <v>273.3</v>
      </c>
      <c r="J31" s="117">
        <f t="shared" si="3"/>
        <v>0</v>
      </c>
      <c r="K31" s="132">
        <f t="shared" si="3"/>
        <v>1.6600000000000001</v>
      </c>
      <c r="L31" s="117">
        <f t="shared" si="3"/>
        <v>0</v>
      </c>
      <c r="M31" s="117">
        <f t="shared" si="3"/>
        <v>0</v>
      </c>
      <c r="N31" s="117">
        <f t="shared" si="3"/>
        <v>160.41999999999999</v>
      </c>
      <c r="O31" s="117">
        <f t="shared" si="3"/>
        <v>0</v>
      </c>
      <c r="P31" s="117">
        <f t="shared" si="3"/>
        <v>32.909999999999997</v>
      </c>
      <c r="Q31" s="369">
        <f t="shared" si="3"/>
        <v>1.0699999999999998</v>
      </c>
      <c r="R31" s="367"/>
    </row>
    <row r="32" spans="1:18" ht="15.75" x14ac:dyDescent="0.25">
      <c r="A32" s="38"/>
      <c r="B32" s="522" t="s">
        <v>44</v>
      </c>
      <c r="C32" s="446"/>
      <c r="D32" s="447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370"/>
      <c r="R32" s="367"/>
    </row>
    <row r="33" spans="1:19" ht="15.75" x14ac:dyDescent="0.25">
      <c r="A33" s="16">
        <v>75</v>
      </c>
      <c r="B33" s="448" t="s">
        <v>98</v>
      </c>
      <c r="C33" s="440"/>
      <c r="D33" s="441"/>
      <c r="E33" s="115">
        <v>100</v>
      </c>
      <c r="F33" s="129">
        <f>2.1*E33/100</f>
        <v>2.1</v>
      </c>
      <c r="G33" s="129">
        <f>6.8*E33/100</f>
        <v>6.8</v>
      </c>
      <c r="H33" s="129">
        <f>13.8*E33/100</f>
        <v>13.8</v>
      </c>
      <c r="I33" s="129">
        <f>125*E33/100</f>
        <v>125</v>
      </c>
      <c r="J33" s="129" t="s">
        <v>35</v>
      </c>
      <c r="K33" s="129">
        <f>5.12*E33/100</f>
        <v>5.12</v>
      </c>
      <c r="L33" s="129">
        <v>0</v>
      </c>
      <c r="M33" s="129">
        <v>0</v>
      </c>
      <c r="N33" s="129">
        <f>30.64*E33/100</f>
        <v>30.64</v>
      </c>
      <c r="O33" s="129">
        <v>0</v>
      </c>
      <c r="P33" s="129">
        <f>41.28*E33/100</f>
        <v>41.28</v>
      </c>
      <c r="Q33" s="129">
        <f>1.22*E33/100</f>
        <v>1.22</v>
      </c>
      <c r="R33" s="19"/>
    </row>
    <row r="34" spans="1:19" s="354" customFormat="1" x14ac:dyDescent="0.25">
      <c r="A34" s="548">
        <v>250</v>
      </c>
      <c r="B34" s="730" t="s">
        <v>104</v>
      </c>
      <c r="C34" s="476"/>
      <c r="D34" s="477"/>
      <c r="E34" s="227">
        <v>120</v>
      </c>
      <c r="F34" s="729">
        <f>29.02*E34/120</f>
        <v>29.02</v>
      </c>
      <c r="G34" s="729">
        <f>21.86*E34/120</f>
        <v>21.86</v>
      </c>
      <c r="H34" s="729">
        <f>6.58*E34/120</f>
        <v>6.58</v>
      </c>
      <c r="I34" s="729">
        <f>339.14*E34/120</f>
        <v>339.14</v>
      </c>
      <c r="J34" s="729" t="s">
        <v>35</v>
      </c>
      <c r="K34" s="729">
        <f>0.02*E34/120</f>
        <v>0.02</v>
      </c>
      <c r="L34" s="729">
        <v>0</v>
      </c>
      <c r="M34" s="729">
        <v>0</v>
      </c>
      <c r="N34" s="729">
        <f>66.8*E34/120</f>
        <v>66.8</v>
      </c>
      <c r="O34" s="729">
        <v>0</v>
      </c>
      <c r="P34" s="729">
        <f>41*E34/120</f>
        <v>41</v>
      </c>
      <c r="Q34" s="729">
        <f>1.98*E34/120</f>
        <v>1.98</v>
      </c>
      <c r="R34" s="366"/>
    </row>
    <row r="35" spans="1:19" s="354" customFormat="1" ht="7.5" customHeight="1" x14ac:dyDescent="0.25">
      <c r="A35" s="527"/>
      <c r="B35" s="478"/>
      <c r="C35" s="479"/>
      <c r="D35" s="480"/>
      <c r="E35" s="197">
        <f>E34*83.3335/100</f>
        <v>100.00020000000001</v>
      </c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366"/>
    </row>
    <row r="36" spans="1:19" x14ac:dyDescent="0.25">
      <c r="A36" s="551">
        <v>171</v>
      </c>
      <c r="B36" s="594" t="s">
        <v>162</v>
      </c>
      <c r="C36" s="476"/>
      <c r="D36" s="477"/>
      <c r="E36" s="138">
        <v>200</v>
      </c>
      <c r="F36" s="729">
        <f>11.05*(E36+E37)/(190+10)</f>
        <v>11.630125</v>
      </c>
      <c r="G36" s="729">
        <f>11.93*(E36+E37)/(190+10)</f>
        <v>12.556324999999999</v>
      </c>
      <c r="H36" s="729">
        <f>46.07*(E36+E37)/(190+10)</f>
        <v>48.488675000000001</v>
      </c>
      <c r="I36" s="729">
        <f>350*(E36+E37)/(190+10)</f>
        <v>368.375</v>
      </c>
      <c r="J36" s="572">
        <v>0</v>
      </c>
      <c r="K36" s="572">
        <v>0</v>
      </c>
      <c r="L36" s="572">
        <v>0</v>
      </c>
      <c r="M36" s="572">
        <v>0</v>
      </c>
      <c r="N36" s="729">
        <f>32.97*(E36+E37)/(190+10)</f>
        <v>34.700924999999998</v>
      </c>
      <c r="O36" s="729">
        <v>0</v>
      </c>
      <c r="P36" s="572">
        <f>175.64*(E36+E37)/(190+10)</f>
        <v>184.86109999999996</v>
      </c>
      <c r="Q36" s="729">
        <f>5.9*(E36+E37)/(190+10)</f>
        <v>6.2097500000000005</v>
      </c>
      <c r="R36" s="17"/>
    </row>
    <row r="37" spans="1:19" x14ac:dyDescent="0.25">
      <c r="A37" s="527"/>
      <c r="B37" s="478"/>
      <c r="C37" s="479"/>
      <c r="D37" s="480"/>
      <c r="E37" s="98">
        <f>E36*5.25/100</f>
        <v>10.5</v>
      </c>
      <c r="F37" s="471"/>
      <c r="G37" s="471"/>
      <c r="H37" s="471"/>
      <c r="I37" s="471"/>
      <c r="J37" s="601"/>
      <c r="K37" s="601"/>
      <c r="L37" s="601"/>
      <c r="M37" s="601"/>
      <c r="N37" s="601"/>
      <c r="O37" s="601"/>
      <c r="P37" s="601"/>
      <c r="Q37" s="601"/>
      <c r="R37" s="17"/>
    </row>
    <row r="38" spans="1:19" ht="15.75" x14ac:dyDescent="0.25">
      <c r="A38" s="51">
        <v>389</v>
      </c>
      <c r="B38" s="439" t="s">
        <v>132</v>
      </c>
      <c r="C38" s="440"/>
      <c r="D38" s="441"/>
      <c r="E38" s="95">
        <v>180</v>
      </c>
      <c r="F38" s="129">
        <v>1</v>
      </c>
      <c r="G38" s="129">
        <v>0</v>
      </c>
      <c r="H38" s="129">
        <v>20.2</v>
      </c>
      <c r="I38" s="129">
        <v>84.8</v>
      </c>
      <c r="J38" s="129">
        <v>0</v>
      </c>
      <c r="K38" s="129">
        <v>4</v>
      </c>
      <c r="L38" s="129">
        <v>0</v>
      </c>
      <c r="M38" s="129">
        <v>0</v>
      </c>
      <c r="N38" s="129">
        <v>14</v>
      </c>
      <c r="O38" s="129">
        <v>0</v>
      </c>
      <c r="P38" s="129">
        <v>8</v>
      </c>
      <c r="Q38" s="129">
        <v>2.8</v>
      </c>
      <c r="R38" s="17"/>
    </row>
    <row r="39" spans="1:19" ht="15.75" x14ac:dyDescent="0.25">
      <c r="A39" s="74" t="s">
        <v>27</v>
      </c>
      <c r="B39" s="41" t="s">
        <v>39</v>
      </c>
      <c r="C39" s="41"/>
      <c r="D39" s="41"/>
      <c r="E39" s="99">
        <v>75</v>
      </c>
      <c r="F39" s="196">
        <f>4.03*E39/50</f>
        <v>6.0449999999999999</v>
      </c>
      <c r="G39" s="196">
        <f>0.5*E39/50</f>
        <v>0.75</v>
      </c>
      <c r="H39" s="196">
        <f>22.36*E39/50</f>
        <v>33.54</v>
      </c>
      <c r="I39" s="196">
        <f>98.86*E39/50</f>
        <v>148.29</v>
      </c>
      <c r="J39" s="196">
        <v>0</v>
      </c>
      <c r="K39" s="196">
        <v>0</v>
      </c>
      <c r="L39" s="196">
        <v>0</v>
      </c>
      <c r="M39" s="196">
        <v>0</v>
      </c>
      <c r="N39" s="196">
        <f>17.59*E39/50</f>
        <v>26.385000000000002</v>
      </c>
      <c r="O39" s="196">
        <v>0</v>
      </c>
      <c r="P39" s="196">
        <f>1.89*E39/50</f>
        <v>2.835</v>
      </c>
      <c r="Q39" s="196">
        <f>0.88*E39/50</f>
        <v>1.32</v>
      </c>
      <c r="R39" s="17"/>
    </row>
    <row r="40" spans="1:19" ht="15.75" x14ac:dyDescent="0.25">
      <c r="A40" s="74" t="s">
        <v>133</v>
      </c>
      <c r="B40" s="439" t="s">
        <v>28</v>
      </c>
      <c r="C40" s="440"/>
      <c r="D40" s="441"/>
      <c r="E40" s="99">
        <v>45</v>
      </c>
      <c r="F40" s="196">
        <f>2.26*E40/30</f>
        <v>3.3899999999999997</v>
      </c>
      <c r="G40" s="196">
        <f>0.23*E40/30</f>
        <v>0.34499999999999997</v>
      </c>
      <c r="H40" s="196">
        <f>14.66*E40/30</f>
        <v>21.990000000000002</v>
      </c>
      <c r="I40" s="196">
        <f>68.86*E40/30</f>
        <v>103.28999999999999</v>
      </c>
      <c r="J40" s="196">
        <v>0</v>
      </c>
      <c r="K40" s="196">
        <v>0</v>
      </c>
      <c r="L40" s="196">
        <v>0</v>
      </c>
      <c r="M40" s="196">
        <v>0</v>
      </c>
      <c r="N40" s="196">
        <f>12.97*E40/30</f>
        <v>19.454999999999998</v>
      </c>
      <c r="O40" s="196">
        <v>0</v>
      </c>
      <c r="P40" s="196">
        <f>2.83*E40/30</f>
        <v>4.2450000000000001</v>
      </c>
      <c r="Q40" s="196">
        <f>0.74*E40/30</f>
        <v>1.1099999999999999</v>
      </c>
      <c r="R40" s="17"/>
    </row>
    <row r="41" spans="1:19" ht="15.75" x14ac:dyDescent="0.25">
      <c r="A41" s="74"/>
      <c r="B41" s="442" t="s">
        <v>48</v>
      </c>
      <c r="C41" s="472"/>
      <c r="D41" s="473"/>
      <c r="E41" s="99">
        <f t="shared" ref="E41:Q41" si="4">SUM(E33:E40)</f>
        <v>830.50019999999995</v>
      </c>
      <c r="F41" s="196">
        <f t="shared" si="4"/>
        <v>53.185124999999999</v>
      </c>
      <c r="G41" s="196">
        <f t="shared" si="4"/>
        <v>42.311324999999997</v>
      </c>
      <c r="H41" s="196">
        <f t="shared" si="4"/>
        <v>144.59867500000001</v>
      </c>
      <c r="I41" s="196">
        <f t="shared" si="4"/>
        <v>1168.895</v>
      </c>
      <c r="J41" s="196">
        <f t="shared" si="4"/>
        <v>0</v>
      </c>
      <c r="K41" s="196">
        <f t="shared" si="4"/>
        <v>9.14</v>
      </c>
      <c r="L41" s="196">
        <f t="shared" si="4"/>
        <v>0</v>
      </c>
      <c r="M41" s="196">
        <f t="shared" si="4"/>
        <v>0</v>
      </c>
      <c r="N41" s="196">
        <f t="shared" si="4"/>
        <v>191.98092499999996</v>
      </c>
      <c r="O41" s="196">
        <f t="shared" si="4"/>
        <v>0</v>
      </c>
      <c r="P41" s="196">
        <f t="shared" si="4"/>
        <v>282.22109999999992</v>
      </c>
      <c r="Q41" s="196">
        <f t="shared" si="4"/>
        <v>14.639749999999999</v>
      </c>
      <c r="R41" s="29"/>
    </row>
    <row r="42" spans="1:19" ht="15.75" x14ac:dyDescent="0.25">
      <c r="A42" s="38"/>
      <c r="B42" s="522" t="s">
        <v>49</v>
      </c>
      <c r="C42" s="446"/>
      <c r="D42" s="447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"/>
    </row>
    <row r="43" spans="1:19" ht="15.75" x14ac:dyDescent="0.25">
      <c r="A43" s="20">
        <v>386</v>
      </c>
      <c r="B43" s="482" t="s">
        <v>93</v>
      </c>
      <c r="C43" s="440"/>
      <c r="D43" s="441"/>
      <c r="E43" s="336">
        <v>200</v>
      </c>
      <c r="F43" s="336">
        <v>5.6</v>
      </c>
      <c r="G43" s="336">
        <v>6.4</v>
      </c>
      <c r="H43" s="336">
        <v>7.6</v>
      </c>
      <c r="I43" s="336">
        <v>110</v>
      </c>
      <c r="J43" s="159">
        <v>0</v>
      </c>
      <c r="K43" s="336">
        <v>0.6</v>
      </c>
      <c r="L43" s="159">
        <v>0</v>
      </c>
      <c r="M43" s="336">
        <v>0</v>
      </c>
      <c r="N43" s="159">
        <v>248</v>
      </c>
      <c r="O43" s="336">
        <v>0</v>
      </c>
      <c r="P43" s="159">
        <v>28</v>
      </c>
      <c r="Q43" s="336">
        <v>0.2</v>
      </c>
      <c r="R43" s="39"/>
    </row>
    <row r="44" spans="1:19" ht="15.75" x14ac:dyDescent="0.25">
      <c r="A44" s="74" t="s">
        <v>27</v>
      </c>
      <c r="B44" s="436" t="s">
        <v>221</v>
      </c>
      <c r="C44" s="440"/>
      <c r="D44" s="441"/>
      <c r="E44" s="102">
        <v>30</v>
      </c>
      <c r="F44" s="102">
        <v>1.25</v>
      </c>
      <c r="G44" s="102">
        <v>1.48</v>
      </c>
      <c r="H44" s="102">
        <v>34.89</v>
      </c>
      <c r="I44" s="102">
        <v>160.75</v>
      </c>
      <c r="J44" s="102">
        <v>0</v>
      </c>
      <c r="K44" s="102">
        <v>0.1</v>
      </c>
      <c r="L44" s="102">
        <v>0</v>
      </c>
      <c r="M44" s="102">
        <v>0</v>
      </c>
      <c r="N44" s="102">
        <v>6.8</v>
      </c>
      <c r="O44" s="102">
        <v>0</v>
      </c>
      <c r="P44" s="102">
        <v>4.53</v>
      </c>
      <c r="Q44" s="102">
        <v>0.9</v>
      </c>
      <c r="R44" s="29"/>
    </row>
    <row r="45" spans="1:19" ht="15.75" x14ac:dyDescent="0.25">
      <c r="A45" s="74"/>
      <c r="B45" s="442" t="s">
        <v>52</v>
      </c>
      <c r="C45" s="472"/>
      <c r="D45" s="473"/>
      <c r="E45" s="26">
        <f t="shared" ref="E45:Q45" si="5">SUM(E43:E44)</f>
        <v>230</v>
      </c>
      <c r="F45" s="26">
        <f t="shared" si="5"/>
        <v>6.85</v>
      </c>
      <c r="G45" s="26">
        <f t="shared" si="5"/>
        <v>7.8800000000000008</v>
      </c>
      <c r="H45" s="26">
        <f t="shared" si="5"/>
        <v>42.49</v>
      </c>
      <c r="I45" s="26">
        <f t="shared" si="5"/>
        <v>270.75</v>
      </c>
      <c r="J45" s="55">
        <f t="shared" si="5"/>
        <v>0</v>
      </c>
      <c r="K45" s="26">
        <f t="shared" si="5"/>
        <v>0.7</v>
      </c>
      <c r="L45" s="55">
        <f t="shared" si="5"/>
        <v>0</v>
      </c>
      <c r="M45" s="26">
        <f t="shared" si="5"/>
        <v>0</v>
      </c>
      <c r="N45" s="55">
        <f t="shared" si="5"/>
        <v>254.8</v>
      </c>
      <c r="O45" s="26">
        <f t="shared" si="5"/>
        <v>0</v>
      </c>
      <c r="P45" s="55">
        <f t="shared" si="5"/>
        <v>32.53</v>
      </c>
      <c r="Q45" s="26">
        <f t="shared" si="5"/>
        <v>1.1000000000000001</v>
      </c>
      <c r="R45" s="17"/>
    </row>
    <row r="46" spans="1:19" ht="15.75" x14ac:dyDescent="0.25">
      <c r="A46" s="74"/>
      <c r="B46" s="436" t="s">
        <v>53</v>
      </c>
      <c r="C46" s="437"/>
      <c r="D46" s="438"/>
      <c r="E46" s="32">
        <v>8</v>
      </c>
      <c r="F46" s="22"/>
      <c r="G46" s="22"/>
      <c r="H46" s="22"/>
      <c r="I46" s="22"/>
      <c r="J46" s="22"/>
      <c r="K46" s="22"/>
      <c r="L46" s="22"/>
      <c r="M46" s="22"/>
      <c r="N46" s="22">
        <v>29.44</v>
      </c>
      <c r="O46" s="22"/>
      <c r="P46" s="22">
        <v>1.76</v>
      </c>
      <c r="Q46" s="22">
        <v>0.23</v>
      </c>
      <c r="R46" s="221"/>
    </row>
    <row r="47" spans="1:19" ht="16.5" customHeight="1" x14ac:dyDescent="0.25">
      <c r="A47" s="373"/>
      <c r="B47" s="821" t="s">
        <v>54</v>
      </c>
      <c r="C47" s="822"/>
      <c r="D47" s="823"/>
      <c r="E47" s="374">
        <f t="shared" ref="E47:M47" si="6">SUM(E13,E16,E27,E31,E41,E45)</f>
        <v>3140.5201999999999</v>
      </c>
      <c r="F47" s="361">
        <f t="shared" si="6"/>
        <v>139.16028112903226</v>
      </c>
      <c r="G47" s="361">
        <f t="shared" si="6"/>
        <v>129.31671854838709</v>
      </c>
      <c r="H47" s="361">
        <f t="shared" si="6"/>
        <v>530.90960209677417</v>
      </c>
      <c r="I47" s="365">
        <f t="shared" si="6"/>
        <v>3827.2533032258066</v>
      </c>
      <c r="J47" s="361">
        <f t="shared" si="6"/>
        <v>0.16500000000000001</v>
      </c>
      <c r="K47" s="361">
        <f t="shared" si="6"/>
        <v>88.960648387096768</v>
      </c>
      <c r="L47" s="361">
        <f t="shared" si="6"/>
        <v>6.3E-2</v>
      </c>
      <c r="M47" s="361">
        <f t="shared" si="6"/>
        <v>0.14399999999999999</v>
      </c>
      <c r="N47" s="365">
        <f>SUM(N13,N16,N27,N31,N41,N45,N46)</f>
        <v>1351.3381817741933</v>
      </c>
      <c r="O47" s="361">
        <f>SUM(O13,O16,O27,O31,O41,O45)</f>
        <v>273.68</v>
      </c>
      <c r="P47" s="361">
        <f>SUM(P13,P16,P27,P31,P41,P45)</f>
        <v>564.84797161290317</v>
      </c>
      <c r="Q47" s="361">
        <f>SUM(Q13,Q16,Q27,Q31,Q41,Q45)</f>
        <v>38.939821612903224</v>
      </c>
      <c r="R47" s="29"/>
    </row>
    <row r="48" spans="1:19" s="338" customFormat="1" ht="26.25" customHeight="1" x14ac:dyDescent="0.25">
      <c r="A48" s="523" t="s">
        <v>55</v>
      </c>
      <c r="B48" s="524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5"/>
      <c r="S48" s="1"/>
    </row>
    <row r="49" spans="1:19" s="338" customFormat="1" ht="31.5" customHeight="1" x14ac:dyDescent="0.25">
      <c r="A49" s="526" t="s">
        <v>3</v>
      </c>
      <c r="B49" s="766" t="s">
        <v>4</v>
      </c>
      <c r="C49" s="767"/>
      <c r="D49" s="768"/>
      <c r="E49" s="68" t="s">
        <v>5</v>
      </c>
      <c r="F49" s="530" t="s">
        <v>6</v>
      </c>
      <c r="G49" s="440"/>
      <c r="H49" s="441"/>
      <c r="I49" s="529" t="s">
        <v>7</v>
      </c>
      <c r="J49" s="530" t="s">
        <v>8</v>
      </c>
      <c r="K49" s="440"/>
      <c r="L49" s="440"/>
      <c r="M49" s="441"/>
      <c r="N49" s="530" t="s">
        <v>9</v>
      </c>
      <c r="O49" s="440"/>
      <c r="P49" s="440"/>
      <c r="Q49" s="441"/>
      <c r="R49" s="1"/>
      <c r="S49" s="1"/>
    </row>
    <row r="50" spans="1:19" s="338" customFormat="1" ht="24.75" customHeight="1" x14ac:dyDescent="0.25">
      <c r="A50" s="527"/>
      <c r="B50" s="769"/>
      <c r="C50" s="770"/>
      <c r="D50" s="771"/>
      <c r="E50" s="69"/>
      <c r="F50" s="33" t="s">
        <v>10</v>
      </c>
      <c r="G50" s="33" t="s">
        <v>11</v>
      </c>
      <c r="H50" s="33" t="s">
        <v>12</v>
      </c>
      <c r="I50" s="527"/>
      <c r="J50" s="34" t="s">
        <v>13</v>
      </c>
      <c r="K50" s="34" t="s">
        <v>14</v>
      </c>
      <c r="L50" s="34" t="s">
        <v>15</v>
      </c>
      <c r="M50" s="341" t="s">
        <v>16</v>
      </c>
      <c r="N50" s="36" t="s">
        <v>17</v>
      </c>
      <c r="O50" s="34" t="s">
        <v>18</v>
      </c>
      <c r="P50" s="34" t="s">
        <v>19</v>
      </c>
      <c r="Q50" s="341" t="s">
        <v>20</v>
      </c>
      <c r="R50" s="1"/>
      <c r="S50" s="1"/>
    </row>
    <row r="51" spans="1:19" s="338" customFormat="1" ht="15.75" customHeight="1" x14ac:dyDescent="0.25">
      <c r="A51" s="9">
        <v>1</v>
      </c>
      <c r="B51" s="532">
        <v>2</v>
      </c>
      <c r="C51" s="440"/>
      <c r="D51" s="441"/>
      <c r="E51" s="57">
        <v>3</v>
      </c>
      <c r="F51" s="57">
        <v>4</v>
      </c>
      <c r="G51" s="57">
        <v>5</v>
      </c>
      <c r="H51" s="57">
        <v>6</v>
      </c>
      <c r="I51" s="58">
        <v>7</v>
      </c>
      <c r="J51" s="57">
        <v>8</v>
      </c>
      <c r="K51" s="57">
        <v>9</v>
      </c>
      <c r="L51" s="57">
        <v>10</v>
      </c>
      <c r="M51" s="59">
        <v>11</v>
      </c>
      <c r="N51" s="57">
        <v>12</v>
      </c>
      <c r="O51" s="57">
        <v>13</v>
      </c>
      <c r="P51" s="57">
        <v>14</v>
      </c>
      <c r="Q51" s="60">
        <v>15</v>
      </c>
      <c r="R51" s="1"/>
      <c r="S51" s="1"/>
    </row>
    <row r="52" spans="1:19" s="338" customFormat="1" ht="15.75" customHeight="1" x14ac:dyDescent="0.25">
      <c r="A52" s="201"/>
      <c r="B52" s="522" t="s">
        <v>21</v>
      </c>
      <c r="C52" s="446"/>
      <c r="D52" s="447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"/>
      <c r="S52" s="1"/>
    </row>
    <row r="53" spans="1:19" s="338" customFormat="1" ht="14.25" customHeight="1" x14ac:dyDescent="0.25">
      <c r="A53" s="106">
        <v>3</v>
      </c>
      <c r="B53" s="439" t="s">
        <v>56</v>
      </c>
      <c r="C53" s="440"/>
      <c r="D53" s="441"/>
      <c r="E53" s="228" t="s">
        <v>23</v>
      </c>
      <c r="F53" s="129">
        <v>5.8</v>
      </c>
      <c r="G53" s="129">
        <v>8.3000000000000007</v>
      </c>
      <c r="H53" s="129">
        <v>14.83</v>
      </c>
      <c r="I53" s="129">
        <v>157</v>
      </c>
      <c r="J53" s="129">
        <v>0.04</v>
      </c>
      <c r="K53" s="129">
        <v>0.04</v>
      </c>
      <c r="L53" s="129">
        <v>0.03</v>
      </c>
      <c r="M53" s="129">
        <v>0.11</v>
      </c>
      <c r="N53" s="129">
        <v>139.19999999999999</v>
      </c>
      <c r="O53" s="129">
        <v>9.4499999999999993</v>
      </c>
      <c r="P53" s="129">
        <v>96</v>
      </c>
      <c r="Q53" s="129">
        <v>0.49</v>
      </c>
      <c r="R53" s="29"/>
      <c r="S53" s="29"/>
    </row>
    <row r="54" spans="1:19" s="338" customFormat="1" ht="15" customHeight="1" x14ac:dyDescent="0.25">
      <c r="A54" s="686">
        <v>183</v>
      </c>
      <c r="B54" s="824" t="s">
        <v>224</v>
      </c>
      <c r="C54" s="825"/>
      <c r="D54" s="826"/>
      <c r="E54" s="249">
        <v>250</v>
      </c>
      <c r="F54" s="661">
        <f>9.1*E54/200</f>
        <v>11.375</v>
      </c>
      <c r="G54" s="661">
        <f>5.74*E54/200</f>
        <v>7.1749999999999998</v>
      </c>
      <c r="H54" s="661">
        <f>45.03*E54/200</f>
        <v>56.287500000000001</v>
      </c>
      <c r="I54" s="661">
        <f>269*E54/200</f>
        <v>336.25</v>
      </c>
      <c r="J54" s="661">
        <v>0</v>
      </c>
      <c r="K54" s="661">
        <f>1.64*E54/200</f>
        <v>2.0499999999999998</v>
      </c>
      <c r="L54" s="661">
        <v>0</v>
      </c>
      <c r="M54" s="661">
        <v>0</v>
      </c>
      <c r="N54" s="661">
        <f>181.48*E54/200</f>
        <v>226.85</v>
      </c>
      <c r="O54" s="661">
        <v>0</v>
      </c>
      <c r="P54" s="661">
        <f>99.23*E54/200</f>
        <v>124.03749999999999</v>
      </c>
      <c r="Q54" s="661">
        <f>2.88*E54/200</f>
        <v>3.6</v>
      </c>
      <c r="R54" s="18"/>
      <c r="S54" s="18"/>
    </row>
    <row r="55" spans="1:19" s="338" customFormat="1" ht="12.75" customHeight="1" x14ac:dyDescent="0.25">
      <c r="A55" s="687"/>
      <c r="B55" s="827"/>
      <c r="C55" s="828"/>
      <c r="D55" s="829"/>
      <c r="E55" s="250">
        <f>E54*5/100</f>
        <v>12.5</v>
      </c>
      <c r="F55" s="619"/>
      <c r="G55" s="619"/>
      <c r="H55" s="619"/>
      <c r="I55" s="619"/>
      <c r="J55" s="619"/>
      <c r="K55" s="619"/>
      <c r="L55" s="619"/>
      <c r="M55" s="619"/>
      <c r="N55" s="619"/>
      <c r="O55" s="619"/>
      <c r="P55" s="619"/>
      <c r="Q55" s="619"/>
      <c r="R55" s="18"/>
      <c r="S55" s="18"/>
    </row>
    <row r="56" spans="1:19" s="338" customFormat="1" ht="15.75" customHeight="1" x14ac:dyDescent="0.25">
      <c r="A56" s="102">
        <v>382</v>
      </c>
      <c r="B56" s="555" t="s">
        <v>58</v>
      </c>
      <c r="C56" s="440"/>
      <c r="D56" s="441"/>
      <c r="E56" s="337">
        <v>200</v>
      </c>
      <c r="F56" s="340">
        <v>3.76</v>
      </c>
      <c r="G56" s="340">
        <v>3.2</v>
      </c>
      <c r="H56" s="340">
        <v>17.57</v>
      </c>
      <c r="I56" s="340">
        <v>114.12</v>
      </c>
      <c r="J56" s="340">
        <v>0</v>
      </c>
      <c r="K56" s="340">
        <v>1.58</v>
      </c>
      <c r="L56" s="340">
        <v>0</v>
      </c>
      <c r="M56" s="340">
        <v>0</v>
      </c>
      <c r="N56" s="340">
        <v>152.22</v>
      </c>
      <c r="O56" s="340">
        <v>0</v>
      </c>
      <c r="P56" s="340">
        <v>21.34</v>
      </c>
      <c r="Q56" s="340">
        <v>0.47</v>
      </c>
      <c r="R56" s="39"/>
      <c r="S56" s="39"/>
    </row>
    <row r="57" spans="1:19" s="338" customFormat="1" ht="15.75" customHeight="1" x14ac:dyDescent="0.25">
      <c r="A57" s="106" t="s">
        <v>27</v>
      </c>
      <c r="B57" s="439" t="s">
        <v>28</v>
      </c>
      <c r="C57" s="440"/>
      <c r="D57" s="441"/>
      <c r="E57" s="99">
        <v>45</v>
      </c>
      <c r="F57" s="117">
        <f>2.26*E57/30</f>
        <v>3.3899999999999997</v>
      </c>
      <c r="G57" s="117">
        <f>0.23*E57/30</f>
        <v>0.34499999999999997</v>
      </c>
      <c r="H57" s="117">
        <f>14.66*E57/30</f>
        <v>21.990000000000002</v>
      </c>
      <c r="I57" s="117">
        <f>68.86*E57/30</f>
        <v>103.28999999999999</v>
      </c>
      <c r="J57" s="117">
        <v>0</v>
      </c>
      <c r="K57" s="117">
        <v>0</v>
      </c>
      <c r="L57" s="117">
        <v>0</v>
      </c>
      <c r="M57" s="117">
        <v>0</v>
      </c>
      <c r="N57" s="117">
        <f>12.97*E57/30</f>
        <v>19.454999999999998</v>
      </c>
      <c r="O57" s="117">
        <v>0</v>
      </c>
      <c r="P57" s="117">
        <f>2.83*E57/30</f>
        <v>4.2450000000000001</v>
      </c>
      <c r="Q57" s="117">
        <f>0.74*E57/30</f>
        <v>1.1099999999999999</v>
      </c>
      <c r="R57" s="39"/>
      <c r="S57" s="39"/>
    </row>
    <row r="58" spans="1:19" s="338" customFormat="1" ht="15.75" customHeight="1" x14ac:dyDescent="0.25">
      <c r="A58" s="102"/>
      <c r="B58" s="713" t="s">
        <v>29</v>
      </c>
      <c r="C58" s="472"/>
      <c r="D58" s="473"/>
      <c r="E58" s="229">
        <f>SUM(E53:E56)+5+15+30</f>
        <v>512.5</v>
      </c>
      <c r="F58" s="196">
        <f t="shared" ref="F58:Q58" si="7">SUM(F53:F56)</f>
        <v>20.935000000000002</v>
      </c>
      <c r="G58" s="196">
        <f t="shared" si="7"/>
        <v>18.675000000000001</v>
      </c>
      <c r="H58" s="196">
        <f t="shared" si="7"/>
        <v>88.6875</v>
      </c>
      <c r="I58" s="196">
        <f t="shared" si="7"/>
        <v>607.37</v>
      </c>
      <c r="J58" s="196">
        <f t="shared" si="7"/>
        <v>0.04</v>
      </c>
      <c r="K58" s="196">
        <f t="shared" si="7"/>
        <v>3.67</v>
      </c>
      <c r="L58" s="196">
        <f t="shared" si="7"/>
        <v>0.03</v>
      </c>
      <c r="M58" s="196">
        <f t="shared" si="7"/>
        <v>0.11</v>
      </c>
      <c r="N58" s="196">
        <f t="shared" si="7"/>
        <v>518.27</v>
      </c>
      <c r="O58" s="196">
        <f t="shared" si="7"/>
        <v>9.4499999999999993</v>
      </c>
      <c r="P58" s="196">
        <f t="shared" si="7"/>
        <v>241.3775</v>
      </c>
      <c r="Q58" s="196">
        <f t="shared" si="7"/>
        <v>4.5599999999999996</v>
      </c>
      <c r="R58" s="39"/>
      <c r="S58" s="39"/>
    </row>
    <row r="59" spans="1:19" s="338" customFormat="1" ht="15.75" customHeight="1" x14ac:dyDescent="0.25">
      <c r="A59" s="201"/>
      <c r="B59" s="522" t="s">
        <v>30</v>
      </c>
      <c r="C59" s="446"/>
      <c r="D59" s="447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"/>
      <c r="S59" s="1"/>
    </row>
    <row r="60" spans="1:19" s="338" customFormat="1" ht="15.75" customHeight="1" x14ac:dyDescent="0.25">
      <c r="A60" s="106">
        <v>338</v>
      </c>
      <c r="B60" s="439" t="s">
        <v>31</v>
      </c>
      <c r="C60" s="440"/>
      <c r="D60" s="441"/>
      <c r="E60" s="133">
        <v>300</v>
      </c>
      <c r="F60" s="133">
        <v>4.5</v>
      </c>
      <c r="G60" s="134">
        <v>1.5</v>
      </c>
      <c r="H60" s="133">
        <v>27</v>
      </c>
      <c r="I60" s="133">
        <v>285</v>
      </c>
      <c r="J60" s="133">
        <v>0</v>
      </c>
      <c r="K60" s="133">
        <v>30</v>
      </c>
      <c r="L60" s="133">
        <v>0</v>
      </c>
      <c r="M60" s="133">
        <v>0</v>
      </c>
      <c r="N60" s="133">
        <v>24</v>
      </c>
      <c r="O60" s="133">
        <v>0</v>
      </c>
      <c r="P60" s="133">
        <v>126</v>
      </c>
      <c r="Q60" s="133">
        <v>2.1</v>
      </c>
      <c r="R60" s="1"/>
      <c r="S60" s="1"/>
    </row>
    <row r="61" spans="1:19" s="338" customFormat="1" ht="15.75" customHeight="1" x14ac:dyDescent="0.25">
      <c r="A61" s="106"/>
      <c r="B61" s="442" t="s">
        <v>112</v>
      </c>
      <c r="C61" s="472"/>
      <c r="D61" s="473"/>
      <c r="E61" s="106">
        <f t="shared" ref="E61:Q61" si="8">SUM(E60)</f>
        <v>300</v>
      </c>
      <c r="F61" s="106">
        <f t="shared" si="8"/>
        <v>4.5</v>
      </c>
      <c r="G61" s="132">
        <f t="shared" si="8"/>
        <v>1.5</v>
      </c>
      <c r="H61" s="106">
        <f t="shared" si="8"/>
        <v>27</v>
      </c>
      <c r="I61" s="106">
        <f t="shared" si="8"/>
        <v>285</v>
      </c>
      <c r="J61" s="106">
        <f t="shared" si="8"/>
        <v>0</v>
      </c>
      <c r="K61" s="106">
        <f t="shared" si="8"/>
        <v>30</v>
      </c>
      <c r="L61" s="106">
        <f t="shared" si="8"/>
        <v>0</v>
      </c>
      <c r="M61" s="106">
        <f t="shared" si="8"/>
        <v>0</v>
      </c>
      <c r="N61" s="106">
        <f t="shared" si="8"/>
        <v>24</v>
      </c>
      <c r="O61" s="106">
        <f t="shared" si="8"/>
        <v>0</v>
      </c>
      <c r="P61" s="106">
        <f t="shared" si="8"/>
        <v>126</v>
      </c>
      <c r="Q61" s="106">
        <f t="shared" si="8"/>
        <v>2.1</v>
      </c>
      <c r="R61" s="731"/>
      <c r="S61" s="575"/>
    </row>
    <row r="62" spans="1:19" s="338" customFormat="1" ht="15.75" customHeight="1" x14ac:dyDescent="0.25">
      <c r="A62" s="201"/>
      <c r="B62" s="522" t="s">
        <v>33</v>
      </c>
      <c r="C62" s="446"/>
      <c r="D62" s="447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"/>
      <c r="S62" s="1"/>
    </row>
    <row r="63" spans="1:19" s="380" customFormat="1" ht="15.75" customHeight="1" x14ac:dyDescent="0.25">
      <c r="A63" s="375">
        <v>76</v>
      </c>
      <c r="B63" s="783" t="s">
        <v>225</v>
      </c>
      <c r="C63" s="784"/>
      <c r="D63" s="785"/>
      <c r="E63" s="376">
        <v>80</v>
      </c>
      <c r="F63" s="377">
        <v>8</v>
      </c>
      <c r="G63" s="377">
        <v>10.7</v>
      </c>
      <c r="H63" s="377">
        <v>2.62</v>
      </c>
      <c r="I63" s="377">
        <v>139.19999999999999</v>
      </c>
      <c r="J63" s="377" t="s">
        <v>35</v>
      </c>
      <c r="K63" s="377">
        <v>112</v>
      </c>
      <c r="L63" s="377">
        <f>0*E63/100</f>
        <v>0</v>
      </c>
      <c r="M63" s="377">
        <f>0*E63/100</f>
        <v>0</v>
      </c>
      <c r="N63" s="377">
        <v>33.9</v>
      </c>
      <c r="O63" s="377">
        <f>0*E63/100</f>
        <v>0</v>
      </c>
      <c r="P63" s="377">
        <v>16.48</v>
      </c>
      <c r="Q63" s="377">
        <v>4</v>
      </c>
      <c r="R63" s="378"/>
      <c r="S63" s="379"/>
    </row>
    <row r="64" spans="1:19" s="338" customFormat="1" ht="33" customHeight="1" x14ac:dyDescent="0.25">
      <c r="A64" s="115">
        <v>88</v>
      </c>
      <c r="B64" s="544" t="s">
        <v>34</v>
      </c>
      <c r="C64" s="440"/>
      <c r="D64" s="441"/>
      <c r="E64" s="94">
        <v>300</v>
      </c>
      <c r="F64" s="149">
        <f>1.76*E64/250</f>
        <v>2.1120000000000001</v>
      </c>
      <c r="G64" s="149">
        <f>4.95*E64/250</f>
        <v>5.94</v>
      </c>
      <c r="H64" s="149">
        <f>11.5*E64/250</f>
        <v>13.8</v>
      </c>
      <c r="I64" s="149">
        <f>97.59*E64/250</f>
        <v>117.108</v>
      </c>
      <c r="J64" s="149" t="s">
        <v>35</v>
      </c>
      <c r="K64" s="149">
        <f>22*E64/250</f>
        <v>26.4</v>
      </c>
      <c r="L64" s="149">
        <v>0</v>
      </c>
      <c r="M64" s="149">
        <f>22*E64/250</f>
        <v>26.4</v>
      </c>
      <c r="N64" s="149">
        <f>50*E64/250</f>
        <v>60</v>
      </c>
      <c r="O64" s="180">
        <v>0</v>
      </c>
      <c r="P64" s="149">
        <f>34.25*E64/250</f>
        <v>41.1</v>
      </c>
      <c r="Q64" s="149">
        <f>0.75*E64/250</f>
        <v>0.9</v>
      </c>
      <c r="R64" s="29"/>
      <c r="S64" s="29"/>
    </row>
    <row r="65" spans="1:19" s="338" customFormat="1" ht="14.25" customHeight="1" x14ac:dyDescent="0.25">
      <c r="A65" s="533">
        <v>229</v>
      </c>
      <c r="B65" s="542" t="s">
        <v>63</v>
      </c>
      <c r="C65" s="476"/>
      <c r="D65" s="477"/>
      <c r="E65" s="199">
        <v>120</v>
      </c>
      <c r="F65" s="602">
        <f>30.8*E65/100</f>
        <v>36.96</v>
      </c>
      <c r="G65" s="531">
        <f>33.8*E65/100</f>
        <v>40.559999999999995</v>
      </c>
      <c r="H65" s="531">
        <f>7.4*E65/100</f>
        <v>8.8800000000000008</v>
      </c>
      <c r="I65" s="531">
        <f>455.02*E65/100</f>
        <v>546.02399999999989</v>
      </c>
      <c r="J65" s="531">
        <f>0*E65/100</f>
        <v>0</v>
      </c>
      <c r="K65" s="531">
        <f>1.84*E65/100</f>
        <v>2.2080000000000002</v>
      </c>
      <c r="L65" s="531">
        <f>0*E65/100</f>
        <v>0</v>
      </c>
      <c r="M65" s="531">
        <f>0*E65/100</f>
        <v>0</v>
      </c>
      <c r="N65" s="531">
        <f>43.62*E65/100</f>
        <v>52.343999999999994</v>
      </c>
      <c r="O65" s="531">
        <f>0*E65/100</f>
        <v>0</v>
      </c>
      <c r="P65" s="531">
        <f>44.06*E65/100</f>
        <v>52.872000000000007</v>
      </c>
      <c r="Q65" s="531">
        <f>6.12*E65/100</f>
        <v>7.3439999999999994</v>
      </c>
      <c r="R65" s="39"/>
      <c r="S65" s="39"/>
    </row>
    <row r="66" spans="1:19" s="338" customFormat="1" ht="15.75" customHeight="1" x14ac:dyDescent="0.25">
      <c r="A66" s="601"/>
      <c r="B66" s="478"/>
      <c r="C66" s="479"/>
      <c r="D66" s="480"/>
      <c r="E66" s="137">
        <f>E65*100/100</f>
        <v>120</v>
      </c>
      <c r="F66" s="603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29"/>
      <c r="S66" s="29"/>
    </row>
    <row r="67" spans="1:19" s="338" customFormat="1" ht="15.75" customHeight="1" x14ac:dyDescent="0.25">
      <c r="A67" s="126">
        <v>312</v>
      </c>
      <c r="B67" s="439" t="s">
        <v>64</v>
      </c>
      <c r="C67" s="440"/>
      <c r="D67" s="441"/>
      <c r="E67" s="137">
        <v>220</v>
      </c>
      <c r="F67" s="117">
        <f>4.16*E67/200</f>
        <v>4.5760000000000005</v>
      </c>
      <c r="G67" s="117">
        <f>6.8*E67/200</f>
        <v>7.48</v>
      </c>
      <c r="H67" s="117">
        <f>24.76*E67/200</f>
        <v>27.236000000000004</v>
      </c>
      <c r="I67" s="117">
        <f>176.88*E67/200</f>
        <v>194.56799999999998</v>
      </c>
      <c r="J67" s="117">
        <f>0*E67/200</f>
        <v>0</v>
      </c>
      <c r="K67" s="117">
        <f>23.7*E67/200</f>
        <v>26.07</v>
      </c>
      <c r="L67" s="117">
        <f>0*E67/200</f>
        <v>0</v>
      </c>
      <c r="M67" s="117">
        <f>0*E67/200</f>
        <v>0</v>
      </c>
      <c r="N67" s="117">
        <f>49.54*E67/200</f>
        <v>54.494</v>
      </c>
      <c r="O67" s="117">
        <f>0*E67/200</f>
        <v>0</v>
      </c>
      <c r="P67" s="117">
        <f>31.32*E67/200</f>
        <v>34.451999999999998</v>
      </c>
      <c r="Q67" s="117">
        <f>1.09*E67/200</f>
        <v>1.1990000000000001</v>
      </c>
      <c r="R67" s="29"/>
      <c r="S67" s="29"/>
    </row>
    <row r="68" spans="1:19" s="338" customFormat="1" ht="15.75" customHeight="1" x14ac:dyDescent="0.25">
      <c r="A68" s="106">
        <v>342</v>
      </c>
      <c r="B68" s="439" t="s">
        <v>38</v>
      </c>
      <c r="C68" s="440"/>
      <c r="D68" s="441"/>
      <c r="E68" s="100">
        <v>200</v>
      </c>
      <c r="F68" s="117">
        <v>0.08</v>
      </c>
      <c r="G68" s="117">
        <v>0</v>
      </c>
      <c r="H68" s="117">
        <v>21.82</v>
      </c>
      <c r="I68" s="117">
        <v>87.6</v>
      </c>
      <c r="J68" s="117">
        <v>0</v>
      </c>
      <c r="K68" s="117">
        <v>2.25</v>
      </c>
      <c r="L68" s="117">
        <v>0</v>
      </c>
      <c r="M68" s="117">
        <v>0</v>
      </c>
      <c r="N68" s="117">
        <v>17</v>
      </c>
      <c r="O68" s="117">
        <v>0</v>
      </c>
      <c r="P68" s="117">
        <v>9</v>
      </c>
      <c r="Q68" s="117">
        <v>2.2000000000000002</v>
      </c>
      <c r="R68" s="29"/>
      <c r="S68" s="29"/>
    </row>
    <row r="69" spans="1:19" s="338" customFormat="1" ht="15.75" customHeight="1" x14ac:dyDescent="0.25">
      <c r="A69" s="106" t="s">
        <v>27</v>
      </c>
      <c r="B69" s="41" t="s">
        <v>39</v>
      </c>
      <c r="C69" s="41"/>
      <c r="D69" s="41"/>
      <c r="E69" s="99">
        <v>120</v>
      </c>
      <c r="F69" s="117">
        <f>4.03*E69/50</f>
        <v>9.6720000000000006</v>
      </c>
      <c r="G69" s="117">
        <f>0.5*E69/50</f>
        <v>1.2</v>
      </c>
      <c r="H69" s="117">
        <f>22.36*E69/50</f>
        <v>53.663999999999994</v>
      </c>
      <c r="I69" s="117">
        <f>98.86*E69/50</f>
        <v>237.26400000000001</v>
      </c>
      <c r="J69" s="117">
        <v>0</v>
      </c>
      <c r="K69" s="117">
        <v>0</v>
      </c>
      <c r="L69" s="117">
        <v>0</v>
      </c>
      <c r="M69" s="117">
        <v>0</v>
      </c>
      <c r="N69" s="117">
        <f>17.59*E69/50</f>
        <v>42.216000000000001</v>
      </c>
      <c r="O69" s="117">
        <v>0</v>
      </c>
      <c r="P69" s="117">
        <f>1.89*E69/50</f>
        <v>4.5359999999999996</v>
      </c>
      <c r="Q69" s="117">
        <f>0.88*E69/50</f>
        <v>2.1120000000000001</v>
      </c>
      <c r="R69" s="17"/>
      <c r="S69" s="17"/>
    </row>
    <row r="70" spans="1:19" s="338" customFormat="1" ht="15.75" customHeight="1" x14ac:dyDescent="0.25">
      <c r="A70" s="106" t="s">
        <v>27</v>
      </c>
      <c r="B70" s="439" t="s">
        <v>28</v>
      </c>
      <c r="C70" s="440"/>
      <c r="D70" s="441"/>
      <c r="E70" s="99">
        <v>45</v>
      </c>
      <c r="F70" s="117">
        <f>2.26*E70/30</f>
        <v>3.3899999999999997</v>
      </c>
      <c r="G70" s="117">
        <f>0.23*E70/30</f>
        <v>0.34499999999999997</v>
      </c>
      <c r="H70" s="117">
        <f>14.66*E70/30</f>
        <v>21.990000000000002</v>
      </c>
      <c r="I70" s="117">
        <f>68.86*E70/30</f>
        <v>103.28999999999999</v>
      </c>
      <c r="J70" s="117">
        <v>0</v>
      </c>
      <c r="K70" s="117">
        <v>0</v>
      </c>
      <c r="L70" s="117">
        <v>0</v>
      </c>
      <c r="M70" s="117">
        <v>0</v>
      </c>
      <c r="N70" s="117">
        <f>12.97*E70/30</f>
        <v>19.454999999999998</v>
      </c>
      <c r="O70" s="117">
        <v>0</v>
      </c>
      <c r="P70" s="117">
        <f>2.83*E70/30</f>
        <v>4.2450000000000001</v>
      </c>
      <c r="Q70" s="117">
        <f>0.74*E70/30</f>
        <v>1.1099999999999999</v>
      </c>
      <c r="R70" s="17"/>
      <c r="S70" s="17"/>
    </row>
    <row r="71" spans="1:19" s="338" customFormat="1" ht="14.25" customHeight="1" x14ac:dyDescent="0.25">
      <c r="A71" s="106"/>
      <c r="B71" s="442" t="s">
        <v>65</v>
      </c>
      <c r="C71" s="443"/>
      <c r="D71" s="444"/>
      <c r="E71" s="100">
        <f t="shared" ref="E71:Q71" si="9">SUM(E63:E70)</f>
        <v>1205</v>
      </c>
      <c r="F71" s="117">
        <f t="shared" si="9"/>
        <v>64.790000000000006</v>
      </c>
      <c r="G71" s="117">
        <f t="shared" si="9"/>
        <v>66.224999999999994</v>
      </c>
      <c r="H71" s="117">
        <f t="shared" si="9"/>
        <v>150.01000000000002</v>
      </c>
      <c r="I71" s="117">
        <f t="shared" si="9"/>
        <v>1425.0539999999996</v>
      </c>
      <c r="J71" s="117">
        <f t="shared" si="9"/>
        <v>0</v>
      </c>
      <c r="K71" s="117">
        <f t="shared" si="9"/>
        <v>168.928</v>
      </c>
      <c r="L71" s="117">
        <f t="shared" si="9"/>
        <v>0</v>
      </c>
      <c r="M71" s="117">
        <f t="shared" si="9"/>
        <v>26.4</v>
      </c>
      <c r="N71" s="117">
        <f t="shared" si="9"/>
        <v>279.40899999999999</v>
      </c>
      <c r="O71" s="117">
        <f t="shared" si="9"/>
        <v>0</v>
      </c>
      <c r="P71" s="117">
        <f t="shared" si="9"/>
        <v>162.685</v>
      </c>
      <c r="Q71" s="117">
        <f t="shared" si="9"/>
        <v>18.865000000000002</v>
      </c>
      <c r="R71" s="29"/>
      <c r="S71" s="29"/>
    </row>
    <row r="72" spans="1:19" s="338" customFormat="1" ht="18" customHeight="1" x14ac:dyDescent="0.25">
      <c r="A72" s="201"/>
      <c r="B72" s="445" t="s">
        <v>41</v>
      </c>
      <c r="C72" s="446"/>
      <c r="D72" s="447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"/>
      <c r="S72" s="1"/>
    </row>
    <row r="73" spans="1:19" s="338" customFormat="1" ht="18" customHeight="1" x14ac:dyDescent="0.25">
      <c r="A73" s="336" t="s">
        <v>84</v>
      </c>
      <c r="B73" s="433" t="s">
        <v>101</v>
      </c>
      <c r="C73" s="440"/>
      <c r="D73" s="441"/>
      <c r="E73" s="115">
        <v>150</v>
      </c>
      <c r="F73" s="115">
        <f>6.83*E73/100</f>
        <v>10.244999999999999</v>
      </c>
      <c r="G73" s="115">
        <f>5.33*E73/100</f>
        <v>7.9950000000000001</v>
      </c>
      <c r="H73" s="115">
        <f>39.3*E73/100</f>
        <v>58.95</v>
      </c>
      <c r="I73" s="115">
        <f>234*E73/100</f>
        <v>351</v>
      </c>
      <c r="J73" s="115">
        <v>0</v>
      </c>
      <c r="K73" s="115">
        <f>0.85*E73/100</f>
        <v>1.2749999999999999</v>
      </c>
      <c r="L73" s="115">
        <v>0</v>
      </c>
      <c r="M73" s="115">
        <v>0</v>
      </c>
      <c r="N73" s="115">
        <f>22.83*E73/100</f>
        <v>34.244999999999997</v>
      </c>
      <c r="O73" s="115">
        <v>0</v>
      </c>
      <c r="P73" s="115">
        <f>28*E73/100</f>
        <v>42</v>
      </c>
      <c r="Q73" s="115">
        <f>1.35*E73/100</f>
        <v>2.0249999999999999</v>
      </c>
      <c r="R73" s="29"/>
      <c r="S73" s="29"/>
    </row>
    <row r="74" spans="1:19" s="338" customFormat="1" ht="15.75" customHeight="1" x14ac:dyDescent="0.25">
      <c r="A74" s="106">
        <v>379</v>
      </c>
      <c r="B74" s="439" t="s">
        <v>26</v>
      </c>
      <c r="C74" s="440"/>
      <c r="D74" s="441"/>
      <c r="E74" s="115">
        <v>200</v>
      </c>
      <c r="F74" s="115">
        <v>3.58</v>
      </c>
      <c r="G74" s="115">
        <v>2.68</v>
      </c>
      <c r="H74" s="115">
        <v>28.34</v>
      </c>
      <c r="I74" s="115">
        <v>151.80000000000001</v>
      </c>
      <c r="J74" s="115">
        <v>0.02</v>
      </c>
      <c r="K74" s="115">
        <v>0.04</v>
      </c>
      <c r="L74" s="115">
        <v>0.1</v>
      </c>
      <c r="M74" s="115">
        <v>1.3</v>
      </c>
      <c r="N74" s="115">
        <v>125.78</v>
      </c>
      <c r="O74" s="115">
        <v>0</v>
      </c>
      <c r="P74" s="115">
        <v>14</v>
      </c>
      <c r="Q74" s="115">
        <v>0.13</v>
      </c>
      <c r="R74" s="29"/>
      <c r="S74" s="29"/>
    </row>
    <row r="75" spans="1:19" s="338" customFormat="1" ht="18" customHeight="1" x14ac:dyDescent="0.25">
      <c r="A75" s="106"/>
      <c r="B75" s="442" t="s">
        <v>86</v>
      </c>
      <c r="C75" s="472"/>
      <c r="D75" s="473"/>
      <c r="E75" s="106">
        <f>E74+E73</f>
        <v>350</v>
      </c>
      <c r="F75" s="106">
        <f t="shared" ref="F75:Q75" si="10">F73+F74</f>
        <v>13.824999999999999</v>
      </c>
      <c r="G75" s="106">
        <f t="shared" si="10"/>
        <v>10.675000000000001</v>
      </c>
      <c r="H75" s="106">
        <f t="shared" si="10"/>
        <v>87.29</v>
      </c>
      <c r="I75" s="106">
        <f t="shared" si="10"/>
        <v>502.8</v>
      </c>
      <c r="J75" s="106">
        <f t="shared" si="10"/>
        <v>0.02</v>
      </c>
      <c r="K75" s="106">
        <f t="shared" si="10"/>
        <v>1.3149999999999999</v>
      </c>
      <c r="L75" s="106">
        <f t="shared" si="10"/>
        <v>0.1</v>
      </c>
      <c r="M75" s="106">
        <f t="shared" si="10"/>
        <v>1.3</v>
      </c>
      <c r="N75" s="106">
        <f t="shared" si="10"/>
        <v>160.02500000000001</v>
      </c>
      <c r="O75" s="106">
        <f t="shared" si="10"/>
        <v>0</v>
      </c>
      <c r="P75" s="106">
        <f t="shared" si="10"/>
        <v>56</v>
      </c>
      <c r="Q75" s="106">
        <f t="shared" si="10"/>
        <v>2.1549999999999998</v>
      </c>
      <c r="R75" s="29"/>
      <c r="S75" s="29"/>
    </row>
    <row r="76" spans="1:19" s="338" customFormat="1" ht="16.5" customHeight="1" x14ac:dyDescent="0.25">
      <c r="A76" s="201"/>
      <c r="B76" s="474" t="s">
        <v>44</v>
      </c>
      <c r="C76" s="446"/>
      <c r="D76" s="447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"/>
      <c r="S76" s="1"/>
    </row>
    <row r="77" spans="1:19" s="338" customFormat="1" ht="15.75" customHeight="1" x14ac:dyDescent="0.25">
      <c r="A77" s="470">
        <v>295</v>
      </c>
      <c r="B77" s="475" t="s">
        <v>118</v>
      </c>
      <c r="C77" s="476"/>
      <c r="D77" s="477"/>
      <c r="E77" s="122">
        <v>120</v>
      </c>
      <c r="F77" s="470">
        <f>15.3*(E77+E78)/(100+10)</f>
        <v>18.360000000000003</v>
      </c>
      <c r="G77" s="470">
        <f>29.4*(E77+E78)/(100+10)</f>
        <v>35.279999999999994</v>
      </c>
      <c r="H77" s="470">
        <f>15.46*(E77+E78)/(100+10)</f>
        <v>18.552</v>
      </c>
      <c r="I77" s="470">
        <f>388*(E77+E78)/(100+10)</f>
        <v>465.6</v>
      </c>
      <c r="J77" s="470">
        <v>0</v>
      </c>
      <c r="K77" s="470">
        <f>1.04*(E77+E78)/(100+10)</f>
        <v>1.248</v>
      </c>
      <c r="L77" s="470">
        <v>0</v>
      </c>
      <c r="M77" s="470">
        <v>0</v>
      </c>
      <c r="N77" s="470">
        <f>55.54*(E77+E78)/(100+10)</f>
        <v>66.647999999999996</v>
      </c>
      <c r="O77" s="470">
        <v>0</v>
      </c>
      <c r="P77" s="470">
        <f>20.8*(E77+E78)/(100+10)</f>
        <v>24.96</v>
      </c>
      <c r="Q77" s="470">
        <f>1.42*(E77+E78)/(100+10)</f>
        <v>1.704</v>
      </c>
      <c r="R77" s="17"/>
      <c r="S77" s="17"/>
    </row>
    <row r="78" spans="1:19" s="338" customFormat="1" ht="15.75" customHeight="1" x14ac:dyDescent="0.25">
      <c r="A78" s="471"/>
      <c r="B78" s="478"/>
      <c r="C78" s="479"/>
      <c r="D78" s="480"/>
      <c r="E78" s="200">
        <f>E77*10/100</f>
        <v>12</v>
      </c>
      <c r="F78" s="471"/>
      <c r="G78" s="471"/>
      <c r="H78" s="471"/>
      <c r="I78" s="471"/>
      <c r="J78" s="471"/>
      <c r="K78" s="471"/>
      <c r="L78" s="471"/>
      <c r="M78" s="471"/>
      <c r="N78" s="471"/>
      <c r="O78" s="471"/>
      <c r="P78" s="471"/>
      <c r="Q78" s="471"/>
      <c r="R78" s="17"/>
      <c r="S78" s="17"/>
    </row>
    <row r="79" spans="1:19" s="338" customFormat="1" ht="16.5" customHeight="1" x14ac:dyDescent="0.25">
      <c r="A79" s="106">
        <v>321</v>
      </c>
      <c r="B79" s="439" t="s">
        <v>167</v>
      </c>
      <c r="C79" s="440"/>
      <c r="D79" s="441"/>
      <c r="E79" s="95">
        <v>200</v>
      </c>
      <c r="F79" s="129">
        <f>4.13*E79/200</f>
        <v>4.13</v>
      </c>
      <c r="G79" s="129">
        <f>6.47*E79/200</f>
        <v>6.47</v>
      </c>
      <c r="H79" s="129">
        <f>18.85*E79/200</f>
        <v>18.850000000000001</v>
      </c>
      <c r="I79" s="129">
        <f>150.2*E79/200</f>
        <v>150.19999999999999</v>
      </c>
      <c r="J79" s="129"/>
      <c r="K79" s="129">
        <f>34.32*E79/200</f>
        <v>34.32</v>
      </c>
      <c r="L79" s="129">
        <v>0</v>
      </c>
      <c r="M79" s="129"/>
      <c r="N79" s="129">
        <f>110.9*E79/200</f>
        <v>110.9</v>
      </c>
      <c r="O79" s="129">
        <v>0</v>
      </c>
      <c r="P79" s="129">
        <f>41.3*E79/200</f>
        <v>41.3</v>
      </c>
      <c r="Q79" s="129">
        <f>1.61*E79/200</f>
        <v>1.61</v>
      </c>
      <c r="R79" s="17"/>
      <c r="S79" s="17"/>
    </row>
    <row r="80" spans="1:19" s="338" customFormat="1" ht="15.75" customHeight="1" x14ac:dyDescent="0.25">
      <c r="A80" s="106">
        <v>389</v>
      </c>
      <c r="B80" s="439" t="s">
        <v>168</v>
      </c>
      <c r="C80" s="440"/>
      <c r="D80" s="441"/>
      <c r="E80" s="100">
        <v>180</v>
      </c>
      <c r="F80" s="117">
        <v>1</v>
      </c>
      <c r="G80" s="117">
        <v>0</v>
      </c>
      <c r="H80" s="117">
        <v>20.2</v>
      </c>
      <c r="I80" s="117">
        <v>84.8</v>
      </c>
      <c r="J80" s="117">
        <v>0</v>
      </c>
      <c r="K80" s="117">
        <v>4</v>
      </c>
      <c r="L80" s="117">
        <v>0</v>
      </c>
      <c r="M80" s="117">
        <v>0</v>
      </c>
      <c r="N80" s="117">
        <v>14</v>
      </c>
      <c r="O80" s="117">
        <v>0</v>
      </c>
      <c r="P80" s="117">
        <v>8</v>
      </c>
      <c r="Q80" s="117">
        <v>2.8</v>
      </c>
      <c r="R80" s="29"/>
      <c r="S80" s="29"/>
    </row>
    <row r="81" spans="1:19" s="338" customFormat="1" ht="15.75" customHeight="1" x14ac:dyDescent="0.25">
      <c r="A81" s="106" t="s">
        <v>27</v>
      </c>
      <c r="B81" s="41" t="s">
        <v>39</v>
      </c>
      <c r="C81" s="41"/>
      <c r="D81" s="41"/>
      <c r="E81" s="99">
        <v>75</v>
      </c>
      <c r="F81" s="117">
        <f>4.03*E81/50</f>
        <v>6.0449999999999999</v>
      </c>
      <c r="G81" s="117">
        <f>0.5*E81/50</f>
        <v>0.75</v>
      </c>
      <c r="H81" s="117">
        <f>22.36*E81/50</f>
        <v>33.54</v>
      </c>
      <c r="I81" s="117">
        <f>98.86*E81/50</f>
        <v>148.29</v>
      </c>
      <c r="J81" s="117">
        <v>0</v>
      </c>
      <c r="K81" s="117">
        <v>0</v>
      </c>
      <c r="L81" s="117">
        <v>0</v>
      </c>
      <c r="M81" s="117">
        <v>0</v>
      </c>
      <c r="N81" s="117">
        <f>17.59*E81/50</f>
        <v>26.385000000000002</v>
      </c>
      <c r="O81" s="117">
        <v>0</v>
      </c>
      <c r="P81" s="117">
        <f>1.89*E81/50</f>
        <v>2.835</v>
      </c>
      <c r="Q81" s="117">
        <f>0.88*E81/50</f>
        <v>1.32</v>
      </c>
      <c r="R81" s="17"/>
      <c r="S81" s="17"/>
    </row>
    <row r="82" spans="1:19" s="338" customFormat="1" ht="15.75" customHeight="1" x14ac:dyDescent="0.25">
      <c r="A82" s="106" t="s">
        <v>27</v>
      </c>
      <c r="B82" s="439" t="s">
        <v>28</v>
      </c>
      <c r="C82" s="440"/>
      <c r="D82" s="441"/>
      <c r="E82" s="99">
        <v>45</v>
      </c>
      <c r="F82" s="117">
        <f>2.26*E82/30</f>
        <v>3.3899999999999997</v>
      </c>
      <c r="G82" s="117">
        <f>0.23*E82/30</f>
        <v>0.34499999999999997</v>
      </c>
      <c r="H82" s="117">
        <f>14.66*E82/30</f>
        <v>21.990000000000002</v>
      </c>
      <c r="I82" s="117">
        <f>68.86*E82/30</f>
        <v>103.28999999999999</v>
      </c>
      <c r="J82" s="117">
        <v>0</v>
      </c>
      <c r="K82" s="117">
        <v>0</v>
      </c>
      <c r="L82" s="117">
        <v>0</v>
      </c>
      <c r="M82" s="117">
        <v>0</v>
      </c>
      <c r="N82" s="117">
        <f>12.97*E82/30</f>
        <v>19.454999999999998</v>
      </c>
      <c r="O82" s="117">
        <v>0</v>
      </c>
      <c r="P82" s="117">
        <f>2.83*E82/30</f>
        <v>4.2450000000000001</v>
      </c>
      <c r="Q82" s="117">
        <f>0.74*E82/30</f>
        <v>1.1099999999999999</v>
      </c>
      <c r="R82" s="17"/>
      <c r="S82" s="17"/>
    </row>
    <row r="83" spans="1:19" s="338" customFormat="1" ht="15.75" customHeight="1" x14ac:dyDescent="0.25">
      <c r="A83" s="106"/>
      <c r="B83" s="442" t="s">
        <v>72</v>
      </c>
      <c r="C83" s="472"/>
      <c r="D83" s="473"/>
      <c r="E83" s="106">
        <f t="shared" ref="E83:Q83" si="11">SUM(E77:E81)</f>
        <v>587</v>
      </c>
      <c r="F83" s="106">
        <f t="shared" si="11"/>
        <v>29.535000000000004</v>
      </c>
      <c r="G83" s="106">
        <f t="shared" si="11"/>
        <v>42.499999999999993</v>
      </c>
      <c r="H83" s="106">
        <f t="shared" si="11"/>
        <v>91.141999999999996</v>
      </c>
      <c r="I83" s="106">
        <f t="shared" si="11"/>
        <v>848.88999999999987</v>
      </c>
      <c r="J83" s="106">
        <f t="shared" si="11"/>
        <v>0</v>
      </c>
      <c r="K83" s="106">
        <f t="shared" si="11"/>
        <v>39.567999999999998</v>
      </c>
      <c r="L83" s="106">
        <f t="shared" si="11"/>
        <v>0</v>
      </c>
      <c r="M83" s="106">
        <f t="shared" si="11"/>
        <v>0</v>
      </c>
      <c r="N83" s="106">
        <f t="shared" si="11"/>
        <v>217.93299999999999</v>
      </c>
      <c r="O83" s="106">
        <f t="shared" si="11"/>
        <v>0</v>
      </c>
      <c r="P83" s="106">
        <f t="shared" si="11"/>
        <v>77.094999999999985</v>
      </c>
      <c r="Q83" s="106">
        <f t="shared" si="11"/>
        <v>7.4340000000000002</v>
      </c>
      <c r="R83" s="29"/>
      <c r="S83" s="29"/>
    </row>
    <row r="84" spans="1:19" s="338" customFormat="1" ht="15.75" customHeight="1" x14ac:dyDescent="0.25">
      <c r="A84" s="201"/>
      <c r="B84" s="474" t="s">
        <v>149</v>
      </c>
      <c r="C84" s="446"/>
      <c r="D84" s="447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"/>
      <c r="S84" s="1"/>
    </row>
    <row r="85" spans="1:19" s="338" customFormat="1" ht="15.75" customHeight="1" x14ac:dyDescent="0.25">
      <c r="A85" s="106">
        <v>386</v>
      </c>
      <c r="B85" s="482" t="s">
        <v>120</v>
      </c>
      <c r="C85" s="440"/>
      <c r="D85" s="441"/>
      <c r="E85" s="336">
        <v>200</v>
      </c>
      <c r="F85" s="336">
        <v>5.6</v>
      </c>
      <c r="G85" s="336">
        <v>5</v>
      </c>
      <c r="H85" s="336">
        <v>8.1999999999999993</v>
      </c>
      <c r="I85" s="336">
        <v>100.2</v>
      </c>
      <c r="J85" s="115">
        <v>0</v>
      </c>
      <c r="K85" s="115">
        <v>1.4</v>
      </c>
      <c r="L85" s="115">
        <v>0</v>
      </c>
      <c r="M85" s="115">
        <v>0</v>
      </c>
      <c r="N85" s="115">
        <v>240</v>
      </c>
      <c r="O85" s="115">
        <v>0</v>
      </c>
      <c r="P85" s="115">
        <v>28</v>
      </c>
      <c r="Q85" s="115">
        <v>0.2</v>
      </c>
      <c r="R85" s="29"/>
      <c r="S85" s="29"/>
    </row>
    <row r="86" spans="1:19" s="338" customFormat="1" ht="20.25" customHeight="1" x14ac:dyDescent="0.25">
      <c r="A86" s="106" t="s">
        <v>27</v>
      </c>
      <c r="B86" s="436" t="s">
        <v>221</v>
      </c>
      <c r="C86" s="440"/>
      <c r="D86" s="441"/>
      <c r="E86" s="102">
        <v>23</v>
      </c>
      <c r="F86" s="102">
        <v>1.25</v>
      </c>
      <c r="G86" s="102">
        <v>1.48</v>
      </c>
      <c r="H86" s="102">
        <v>34.89</v>
      </c>
      <c r="I86" s="102">
        <v>160.75</v>
      </c>
      <c r="J86" s="102">
        <v>0</v>
      </c>
      <c r="K86" s="102">
        <v>0.1</v>
      </c>
      <c r="L86" s="102">
        <v>0</v>
      </c>
      <c r="M86" s="102">
        <v>0</v>
      </c>
      <c r="N86" s="102">
        <v>6.8</v>
      </c>
      <c r="O86" s="102">
        <v>0</v>
      </c>
      <c r="P86" s="102">
        <v>4.53</v>
      </c>
      <c r="Q86" s="102">
        <v>0.9</v>
      </c>
      <c r="R86" s="29"/>
      <c r="S86" s="29"/>
    </row>
    <row r="87" spans="1:19" s="338" customFormat="1" ht="15.75" customHeight="1" x14ac:dyDescent="0.25">
      <c r="A87" s="106"/>
      <c r="B87" s="442" t="s">
        <v>169</v>
      </c>
      <c r="C87" s="472"/>
      <c r="D87" s="473"/>
      <c r="E87" s="26">
        <f t="shared" ref="E87:Q87" si="12">SUM(E85:E86)</f>
        <v>223</v>
      </c>
      <c r="F87" s="26">
        <f t="shared" si="12"/>
        <v>6.85</v>
      </c>
      <c r="G87" s="26">
        <f t="shared" si="12"/>
        <v>6.48</v>
      </c>
      <c r="H87" s="26">
        <f t="shared" si="12"/>
        <v>43.09</v>
      </c>
      <c r="I87" s="26">
        <f t="shared" si="12"/>
        <v>260.95</v>
      </c>
      <c r="J87" s="26">
        <f t="shared" si="12"/>
        <v>0</v>
      </c>
      <c r="K87" s="26">
        <f t="shared" si="12"/>
        <v>1.5</v>
      </c>
      <c r="L87" s="26">
        <f t="shared" si="12"/>
        <v>0</v>
      </c>
      <c r="M87" s="26">
        <f t="shared" si="12"/>
        <v>0</v>
      </c>
      <c r="N87" s="26">
        <f t="shared" si="12"/>
        <v>246.8</v>
      </c>
      <c r="O87" s="26">
        <f t="shared" si="12"/>
        <v>0</v>
      </c>
      <c r="P87" s="26">
        <f t="shared" si="12"/>
        <v>32.53</v>
      </c>
      <c r="Q87" s="26">
        <f t="shared" si="12"/>
        <v>1.1000000000000001</v>
      </c>
      <c r="R87" s="17"/>
      <c r="S87" s="17"/>
    </row>
    <row r="88" spans="1:19" s="338" customFormat="1" ht="15.75" customHeight="1" x14ac:dyDescent="0.25">
      <c r="A88" s="106"/>
      <c r="B88" s="436" t="s">
        <v>53</v>
      </c>
      <c r="C88" s="437"/>
      <c r="D88" s="438"/>
      <c r="E88" s="32">
        <v>8</v>
      </c>
      <c r="F88" s="22"/>
      <c r="G88" s="22"/>
      <c r="H88" s="22"/>
      <c r="I88" s="22"/>
      <c r="J88" s="22"/>
      <c r="K88" s="22"/>
      <c r="L88" s="22"/>
      <c r="M88" s="22"/>
      <c r="N88" s="22">
        <v>29.44</v>
      </c>
      <c r="O88" s="22"/>
      <c r="P88" s="22">
        <v>1.76</v>
      </c>
      <c r="Q88" s="22">
        <v>0.23</v>
      </c>
      <c r="R88" s="221"/>
      <c r="S88" s="221"/>
    </row>
    <row r="89" spans="1:19" s="338" customFormat="1" ht="15.75" customHeight="1" x14ac:dyDescent="0.25">
      <c r="A89" s="106"/>
      <c r="B89" s="422" t="s">
        <v>75</v>
      </c>
      <c r="C89" s="423"/>
      <c r="D89" s="424"/>
      <c r="E89" s="27">
        <f>SUM(E58,E61,E71,E75,E83,E87)</f>
        <v>3177.5</v>
      </c>
      <c r="F89" s="22">
        <f t="shared" ref="F89:M89" si="13">SUM(F58,F61,F71,F75,F83,F87)</f>
        <v>140.435</v>
      </c>
      <c r="G89" s="22">
        <f t="shared" si="13"/>
        <v>146.05499999999998</v>
      </c>
      <c r="H89" s="22">
        <f t="shared" si="13"/>
        <v>487.21950000000004</v>
      </c>
      <c r="I89" s="22">
        <f t="shared" si="13"/>
        <v>3930.0639999999994</v>
      </c>
      <c r="J89" s="22">
        <f t="shared" si="13"/>
        <v>0.06</v>
      </c>
      <c r="K89" s="22">
        <f t="shared" si="13"/>
        <v>244.98099999999999</v>
      </c>
      <c r="L89" s="22">
        <f t="shared" si="13"/>
        <v>0.13</v>
      </c>
      <c r="M89" s="22">
        <f t="shared" si="13"/>
        <v>27.81</v>
      </c>
      <c r="N89" s="22">
        <f>SUM(N58,N61,N71,N75,N83,N87,N88)</f>
        <v>1475.877</v>
      </c>
      <c r="O89" s="22">
        <f>SUM(O58,O61,O71,O75,O83,O87)</f>
        <v>9.4499999999999993</v>
      </c>
      <c r="P89" s="22">
        <f>SUM(P58,P61,P71,P75,P83,P87)</f>
        <v>695.6875</v>
      </c>
      <c r="Q89" s="22">
        <f>SUM(Q58,Q61,Q71,Q75,Q83,Q87)</f>
        <v>36.214000000000006</v>
      </c>
      <c r="R89" s="29"/>
      <c r="S89" s="29"/>
    </row>
    <row r="90" spans="1:19" s="338" customFormat="1" ht="18.75" customHeight="1" x14ac:dyDescent="0.25">
      <c r="A90" s="449" t="s">
        <v>76</v>
      </c>
      <c r="B90" s="449"/>
      <c r="C90" s="449"/>
      <c r="D90" s="449"/>
      <c r="E90" s="449"/>
      <c r="F90" s="449"/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1"/>
    </row>
    <row r="91" spans="1:19" s="338" customFormat="1" ht="18.75" customHeight="1" x14ac:dyDescent="0.25">
      <c r="A91" s="450" t="s">
        <v>3</v>
      </c>
      <c r="B91" s="830" t="s">
        <v>4</v>
      </c>
      <c r="C91" s="831"/>
      <c r="D91" s="832"/>
      <c r="E91" s="425" t="s">
        <v>5</v>
      </c>
      <c r="F91" s="458" t="s">
        <v>6</v>
      </c>
      <c r="G91" s="459"/>
      <c r="H91" s="460"/>
      <c r="I91" s="425" t="s">
        <v>7</v>
      </c>
      <c r="J91" s="458" t="s">
        <v>8</v>
      </c>
      <c r="K91" s="459"/>
      <c r="L91" s="459"/>
      <c r="M91" s="460"/>
      <c r="N91" s="458" t="s">
        <v>9</v>
      </c>
      <c r="O91" s="459"/>
      <c r="P91" s="459"/>
      <c r="Q91" s="460"/>
      <c r="R91" s="280"/>
      <c r="S91" s="1"/>
    </row>
    <row r="92" spans="1:19" s="338" customFormat="1" ht="18.75" customHeight="1" x14ac:dyDescent="0.25">
      <c r="A92" s="451"/>
      <c r="B92" s="833"/>
      <c r="C92" s="834"/>
      <c r="D92" s="835"/>
      <c r="E92" s="426"/>
      <c r="F92" s="318" t="s">
        <v>10</v>
      </c>
      <c r="G92" s="318" t="s">
        <v>11</v>
      </c>
      <c r="H92" s="318" t="s">
        <v>12</v>
      </c>
      <c r="I92" s="426"/>
      <c r="J92" s="92" t="s">
        <v>13</v>
      </c>
      <c r="K92" s="92" t="s">
        <v>14</v>
      </c>
      <c r="L92" s="92" t="s">
        <v>15</v>
      </c>
      <c r="M92" s="342" t="s">
        <v>16</v>
      </c>
      <c r="N92" s="317" t="s">
        <v>17</v>
      </c>
      <c r="O92" s="92" t="s">
        <v>18</v>
      </c>
      <c r="P92" s="92" t="s">
        <v>19</v>
      </c>
      <c r="Q92" s="342" t="s">
        <v>20</v>
      </c>
      <c r="R92" s="280"/>
      <c r="S92" s="1"/>
    </row>
    <row r="93" spans="1:19" s="338" customFormat="1" ht="15.75" customHeight="1" x14ac:dyDescent="0.25">
      <c r="A93" s="220">
        <v>1</v>
      </c>
      <c r="B93" s="461">
        <v>2</v>
      </c>
      <c r="C93" s="462"/>
      <c r="D93" s="463"/>
      <c r="E93" s="313">
        <v>3</v>
      </c>
      <c r="F93" s="313">
        <v>4</v>
      </c>
      <c r="G93" s="313">
        <v>5</v>
      </c>
      <c r="H93" s="313">
        <v>6</v>
      </c>
      <c r="I93" s="315">
        <v>7</v>
      </c>
      <c r="J93" s="313">
        <v>8</v>
      </c>
      <c r="K93" s="313">
        <v>9</v>
      </c>
      <c r="L93" s="313">
        <v>10</v>
      </c>
      <c r="M93" s="314">
        <v>11</v>
      </c>
      <c r="N93" s="313">
        <v>12</v>
      </c>
      <c r="O93" s="313">
        <v>13</v>
      </c>
      <c r="P93" s="313">
        <v>14</v>
      </c>
      <c r="Q93" s="312">
        <v>15</v>
      </c>
      <c r="R93" s="280"/>
      <c r="S93" s="1"/>
    </row>
    <row r="94" spans="1:19" s="338" customFormat="1" ht="15.75" customHeight="1" x14ac:dyDescent="0.25">
      <c r="A94" s="201"/>
      <c r="B94" s="483" t="s">
        <v>21</v>
      </c>
      <c r="C94" s="484"/>
      <c r="D94" s="48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280"/>
      <c r="S94" s="1"/>
    </row>
    <row r="95" spans="1:19" s="338" customFormat="1" ht="15.75" customHeight="1" x14ac:dyDescent="0.25">
      <c r="A95" s="106">
        <v>3</v>
      </c>
      <c r="B95" s="486" t="s">
        <v>172</v>
      </c>
      <c r="C95" s="487"/>
      <c r="D95" s="488"/>
      <c r="E95" s="99" t="s">
        <v>23</v>
      </c>
      <c r="F95" s="117">
        <v>5.8</v>
      </c>
      <c r="G95" s="117">
        <v>8.3000000000000007</v>
      </c>
      <c r="H95" s="117">
        <v>14.83</v>
      </c>
      <c r="I95" s="117">
        <v>157</v>
      </c>
      <c r="J95" s="117">
        <v>0.04</v>
      </c>
      <c r="K95" s="117">
        <v>0.04</v>
      </c>
      <c r="L95" s="117">
        <v>0.03</v>
      </c>
      <c r="M95" s="117">
        <v>0.11</v>
      </c>
      <c r="N95" s="117">
        <v>139.19999999999999</v>
      </c>
      <c r="O95" s="117">
        <v>9.4499999999999993</v>
      </c>
      <c r="P95" s="117">
        <v>96</v>
      </c>
      <c r="Q95" s="117">
        <v>0.49</v>
      </c>
      <c r="R95" s="282"/>
      <c r="S95" s="29"/>
    </row>
    <row r="96" spans="1:19" s="338" customFormat="1" ht="12.75" customHeight="1" x14ac:dyDescent="0.25">
      <c r="A96" s="489">
        <v>174</v>
      </c>
      <c r="B96" s="492" t="s">
        <v>173</v>
      </c>
      <c r="C96" s="493"/>
      <c r="D96" s="494"/>
      <c r="E96" s="128">
        <v>250</v>
      </c>
      <c r="F96" s="464">
        <f>6.11*E96/200</f>
        <v>7.6375000000000002</v>
      </c>
      <c r="G96" s="464">
        <f>10.72*E96/200</f>
        <v>13.4</v>
      </c>
      <c r="H96" s="464">
        <f>32.38*E96/200</f>
        <v>40.475000000000001</v>
      </c>
      <c r="I96" s="464">
        <f>251*E96/200</f>
        <v>313.75</v>
      </c>
      <c r="J96" s="464">
        <v>0</v>
      </c>
      <c r="K96" s="464">
        <f>1.17*E96/200</f>
        <v>1.4624999999999999</v>
      </c>
      <c r="L96" s="464">
        <v>0</v>
      </c>
      <c r="M96" s="464">
        <v>0</v>
      </c>
      <c r="N96" s="464">
        <f>133.77*E96/200</f>
        <v>167.21250000000001</v>
      </c>
      <c r="O96" s="464">
        <v>0</v>
      </c>
      <c r="P96" s="464">
        <f>20.3*E96/200</f>
        <v>25.375</v>
      </c>
      <c r="Q96" s="464">
        <v>0.47</v>
      </c>
      <c r="R96" s="309"/>
      <c r="S96" s="18"/>
    </row>
    <row r="97" spans="1:19" s="338" customFormat="1" ht="15.75" hidden="1" customHeight="1" x14ac:dyDescent="0.25">
      <c r="A97" s="490"/>
      <c r="B97" s="495"/>
      <c r="C97" s="496"/>
      <c r="D97" s="497"/>
      <c r="E97" s="99"/>
      <c r="F97" s="465"/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465"/>
      <c r="R97" s="307"/>
      <c r="S97" s="17"/>
    </row>
    <row r="98" spans="1:19" s="338" customFormat="1" ht="15" customHeight="1" x14ac:dyDescent="0.25">
      <c r="A98" s="491"/>
      <c r="B98" s="498"/>
      <c r="C98" s="499"/>
      <c r="D98" s="500"/>
      <c r="E98" s="169">
        <f>E96*4/100</f>
        <v>10</v>
      </c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311"/>
      <c r="S98" s="17"/>
    </row>
    <row r="99" spans="1:19" s="338" customFormat="1" ht="15.75" customHeight="1" x14ac:dyDescent="0.25">
      <c r="A99" s="106">
        <v>209</v>
      </c>
      <c r="B99" s="486" t="s">
        <v>25</v>
      </c>
      <c r="C99" s="487"/>
      <c r="D99" s="488"/>
      <c r="E99" s="106">
        <v>40</v>
      </c>
      <c r="F99" s="106">
        <v>5.0999999999999996</v>
      </c>
      <c r="G99" s="106">
        <v>4.5999999999999996</v>
      </c>
      <c r="H99" s="106">
        <v>0.3</v>
      </c>
      <c r="I99" s="106">
        <v>63</v>
      </c>
      <c r="J99" s="106"/>
      <c r="K99" s="106"/>
      <c r="L99" s="106"/>
      <c r="M99" s="106"/>
      <c r="N99" s="106">
        <v>22</v>
      </c>
      <c r="O99" s="106"/>
      <c r="P99" s="106">
        <v>4.8</v>
      </c>
      <c r="Q99" s="106">
        <v>1</v>
      </c>
      <c r="R99" s="282"/>
      <c r="S99" s="29"/>
    </row>
    <row r="100" spans="1:19" s="338" customFormat="1" ht="15.75" customHeight="1" x14ac:dyDescent="0.25">
      <c r="A100" s="106">
        <v>379</v>
      </c>
      <c r="B100" s="486" t="s">
        <v>26</v>
      </c>
      <c r="C100" s="487"/>
      <c r="D100" s="488"/>
      <c r="E100" s="106">
        <v>200</v>
      </c>
      <c r="F100" s="106">
        <v>3.58</v>
      </c>
      <c r="G100" s="106">
        <v>2.68</v>
      </c>
      <c r="H100" s="106">
        <v>28.34</v>
      </c>
      <c r="I100" s="106">
        <v>151.80000000000001</v>
      </c>
      <c r="J100" s="106">
        <v>0.02</v>
      </c>
      <c r="K100" s="106">
        <v>0.04</v>
      </c>
      <c r="L100" s="106">
        <v>0.1</v>
      </c>
      <c r="M100" s="106">
        <v>1.3</v>
      </c>
      <c r="N100" s="106">
        <v>125.78</v>
      </c>
      <c r="O100" s="106">
        <v>0</v>
      </c>
      <c r="P100" s="106">
        <v>14</v>
      </c>
      <c r="Q100" s="106">
        <v>0.13</v>
      </c>
      <c r="R100" s="282"/>
      <c r="S100" s="29"/>
    </row>
    <row r="101" spans="1:19" s="338" customFormat="1" ht="15.75" customHeight="1" x14ac:dyDescent="0.25">
      <c r="A101" s="106" t="s">
        <v>27</v>
      </c>
      <c r="B101" s="486" t="s">
        <v>28</v>
      </c>
      <c r="C101" s="487"/>
      <c r="D101" s="488"/>
      <c r="E101" s="99">
        <v>45</v>
      </c>
      <c r="F101" s="117">
        <f>2.26*E101/30</f>
        <v>3.3899999999999997</v>
      </c>
      <c r="G101" s="117">
        <f>0.23*E101/30</f>
        <v>0.34499999999999997</v>
      </c>
      <c r="H101" s="117">
        <f>14.66*E101/30</f>
        <v>21.990000000000002</v>
      </c>
      <c r="I101" s="117">
        <f>68.86*E101/30</f>
        <v>103.28999999999999</v>
      </c>
      <c r="J101" s="117">
        <v>0</v>
      </c>
      <c r="K101" s="117">
        <v>0</v>
      </c>
      <c r="L101" s="117">
        <v>0</v>
      </c>
      <c r="M101" s="117">
        <v>0</v>
      </c>
      <c r="N101" s="117">
        <f>12.97*E101/30</f>
        <v>19.454999999999998</v>
      </c>
      <c r="O101" s="117">
        <v>0</v>
      </c>
      <c r="P101" s="117">
        <f>2.83*E101/30</f>
        <v>4.2450000000000001</v>
      </c>
      <c r="Q101" s="117">
        <f>0.74*E101/30</f>
        <v>1.1099999999999999</v>
      </c>
      <c r="R101" s="282"/>
      <c r="S101" s="29"/>
    </row>
    <row r="102" spans="1:19" s="338" customFormat="1" ht="15.75" customHeight="1" x14ac:dyDescent="0.25">
      <c r="A102" s="106"/>
      <c r="B102" s="422" t="s">
        <v>29</v>
      </c>
      <c r="C102" s="423"/>
      <c r="D102" s="424"/>
      <c r="E102" s="99">
        <f>SUM(E95:E100)+5+15+30</f>
        <v>550</v>
      </c>
      <c r="F102" s="117">
        <f t="shared" ref="F102:O102" si="14">SUM(F95:F100)</f>
        <v>22.1175</v>
      </c>
      <c r="G102" s="117">
        <f t="shared" si="14"/>
        <v>28.980000000000004</v>
      </c>
      <c r="H102" s="117">
        <f t="shared" si="14"/>
        <v>83.944999999999993</v>
      </c>
      <c r="I102" s="117">
        <f t="shared" si="14"/>
        <v>685.55</v>
      </c>
      <c r="J102" s="117">
        <f t="shared" si="14"/>
        <v>0.06</v>
      </c>
      <c r="K102" s="117">
        <f t="shared" si="14"/>
        <v>1.5425</v>
      </c>
      <c r="L102" s="117">
        <f t="shared" si="14"/>
        <v>0.13</v>
      </c>
      <c r="M102" s="117">
        <f t="shared" si="14"/>
        <v>1.4100000000000001</v>
      </c>
      <c r="N102" s="117">
        <f t="shared" si="14"/>
        <v>454.1925</v>
      </c>
      <c r="O102" s="117">
        <f t="shared" si="14"/>
        <v>9.4499999999999993</v>
      </c>
      <c r="P102" s="106">
        <v>62.2</v>
      </c>
      <c r="Q102" s="117">
        <f>SUM(Q95:Q100)</f>
        <v>2.09</v>
      </c>
      <c r="R102" s="282"/>
      <c r="S102" s="29"/>
    </row>
    <row r="103" spans="1:19" s="338" customFormat="1" ht="15.75" customHeight="1" x14ac:dyDescent="0.25">
      <c r="A103" s="201"/>
      <c r="B103" s="483" t="s">
        <v>30</v>
      </c>
      <c r="C103" s="484"/>
      <c r="D103" s="485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280"/>
      <c r="S103" s="1"/>
    </row>
    <row r="104" spans="1:19" s="338" customFormat="1" ht="15.75" customHeight="1" x14ac:dyDescent="0.25">
      <c r="A104" s="106">
        <v>338</v>
      </c>
      <c r="B104" s="486" t="s">
        <v>31</v>
      </c>
      <c r="C104" s="487"/>
      <c r="D104" s="488"/>
      <c r="E104" s="133">
        <v>300</v>
      </c>
      <c r="F104" s="133">
        <v>4.5</v>
      </c>
      <c r="G104" s="134">
        <v>1.5</v>
      </c>
      <c r="H104" s="133">
        <v>27</v>
      </c>
      <c r="I104" s="133">
        <v>285</v>
      </c>
      <c r="J104" s="133">
        <v>0</v>
      </c>
      <c r="K104" s="133">
        <v>30</v>
      </c>
      <c r="L104" s="133">
        <v>0</v>
      </c>
      <c r="M104" s="133">
        <v>0</v>
      </c>
      <c r="N104" s="133">
        <v>24</v>
      </c>
      <c r="O104" s="133">
        <v>0</v>
      </c>
      <c r="P104" s="133">
        <v>126</v>
      </c>
      <c r="Q104" s="133">
        <v>2.1</v>
      </c>
      <c r="R104" s="280"/>
      <c r="S104" s="1"/>
    </row>
    <row r="105" spans="1:19" s="338" customFormat="1" ht="15.75" customHeight="1" x14ac:dyDescent="0.25">
      <c r="A105" s="106"/>
      <c r="B105" s="422" t="s">
        <v>32</v>
      </c>
      <c r="C105" s="423"/>
      <c r="D105" s="424"/>
      <c r="E105" s="106">
        <f t="shared" ref="E105:Q105" si="15">E104</f>
        <v>300</v>
      </c>
      <c r="F105" s="106">
        <f t="shared" si="15"/>
        <v>4.5</v>
      </c>
      <c r="G105" s="132">
        <f t="shared" si="15"/>
        <v>1.5</v>
      </c>
      <c r="H105" s="106">
        <f t="shared" si="15"/>
        <v>27</v>
      </c>
      <c r="I105" s="106">
        <f t="shared" si="15"/>
        <v>285</v>
      </c>
      <c r="J105" s="106">
        <f t="shared" si="15"/>
        <v>0</v>
      </c>
      <c r="K105" s="106">
        <f t="shared" si="15"/>
        <v>30</v>
      </c>
      <c r="L105" s="106">
        <f t="shared" si="15"/>
        <v>0</v>
      </c>
      <c r="M105" s="106">
        <f t="shared" si="15"/>
        <v>0</v>
      </c>
      <c r="N105" s="106">
        <f t="shared" si="15"/>
        <v>24</v>
      </c>
      <c r="O105" s="106">
        <f t="shared" si="15"/>
        <v>0</v>
      </c>
      <c r="P105" s="106">
        <f t="shared" si="15"/>
        <v>126</v>
      </c>
      <c r="Q105" s="106">
        <f t="shared" si="15"/>
        <v>2.1</v>
      </c>
      <c r="R105" s="280"/>
      <c r="S105" s="1"/>
    </row>
    <row r="106" spans="1:19" s="338" customFormat="1" ht="15.75" customHeight="1" x14ac:dyDescent="0.25">
      <c r="A106" s="201"/>
      <c r="B106" s="483" t="s">
        <v>33</v>
      </c>
      <c r="C106" s="484"/>
      <c r="D106" s="485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280"/>
      <c r="S106" s="1"/>
    </row>
    <row r="107" spans="1:19" s="338" customFormat="1" ht="15.75" customHeight="1" x14ac:dyDescent="0.25">
      <c r="A107" s="106">
        <v>71</v>
      </c>
      <c r="B107" s="486" t="s">
        <v>98</v>
      </c>
      <c r="C107" s="487"/>
      <c r="D107" s="488"/>
      <c r="E107" s="100">
        <v>100</v>
      </c>
      <c r="F107" s="117">
        <v>2.37</v>
      </c>
      <c r="G107" s="117">
        <v>0.1</v>
      </c>
      <c r="H107" s="117">
        <v>22.87</v>
      </c>
      <c r="I107" s="117">
        <v>185.3</v>
      </c>
      <c r="J107" s="117" t="s">
        <v>35</v>
      </c>
      <c r="K107" s="117">
        <v>5.67</v>
      </c>
      <c r="L107" s="117">
        <v>0</v>
      </c>
      <c r="M107" s="117">
        <v>0</v>
      </c>
      <c r="N107" s="117">
        <v>59.22</v>
      </c>
      <c r="O107" s="117">
        <v>0</v>
      </c>
      <c r="P107" s="117">
        <v>30.14</v>
      </c>
      <c r="Q107" s="117">
        <v>1.69</v>
      </c>
      <c r="R107" s="307"/>
      <c r="S107" s="17"/>
    </row>
    <row r="108" spans="1:19" s="338" customFormat="1" ht="31.5" customHeight="1" x14ac:dyDescent="0.25">
      <c r="A108" s="106">
        <v>103</v>
      </c>
      <c r="B108" s="501" t="s">
        <v>125</v>
      </c>
      <c r="C108" s="502"/>
      <c r="D108" s="503"/>
      <c r="E108" s="115">
        <v>250</v>
      </c>
      <c r="F108" s="200">
        <f>2.86*E108/250</f>
        <v>2.86</v>
      </c>
      <c r="G108" s="200">
        <f>3.08*E108/250</f>
        <v>3.08</v>
      </c>
      <c r="H108" s="200">
        <f>16.83*E108/250</f>
        <v>16.829999999999998</v>
      </c>
      <c r="I108" s="200">
        <f>350.4*E108/250</f>
        <v>350.4</v>
      </c>
      <c r="J108" s="200" t="s">
        <v>35</v>
      </c>
      <c r="K108" s="200">
        <f>8.25*E108/250</f>
        <v>8.25</v>
      </c>
      <c r="L108" s="200">
        <v>0</v>
      </c>
      <c r="M108" s="200">
        <v>0</v>
      </c>
      <c r="N108" s="200">
        <f>26.73*E108/250</f>
        <v>26.73</v>
      </c>
      <c r="O108" s="200">
        <v>0</v>
      </c>
      <c r="P108" s="200">
        <f>26.96*E108/250</f>
        <v>26.96</v>
      </c>
      <c r="Q108" s="200">
        <f>1.1*E108/250</f>
        <v>1.1000000000000001</v>
      </c>
      <c r="R108" s="307"/>
      <c r="S108" s="17"/>
    </row>
    <row r="109" spans="1:19" s="338" customFormat="1" ht="12.75" customHeight="1" x14ac:dyDescent="0.25">
      <c r="A109" s="504" t="s">
        <v>68</v>
      </c>
      <c r="B109" s="506" t="s">
        <v>69</v>
      </c>
      <c r="C109" s="507"/>
      <c r="D109" s="508"/>
      <c r="E109" s="122">
        <v>120</v>
      </c>
      <c r="F109" s="504">
        <f>23.56*(E109+E110)/(100+100)</f>
        <v>28.271999999999998</v>
      </c>
      <c r="G109" s="504">
        <f>20.24*(E109+E110)/(100+100)</f>
        <v>24.287999999999997</v>
      </c>
      <c r="H109" s="504">
        <f>5.86*(E109+E110)/(100+100)</f>
        <v>7.032</v>
      </c>
      <c r="I109" s="504">
        <f>300*(E109+E110)/(100+100)</f>
        <v>360</v>
      </c>
      <c r="J109" s="504">
        <v>0</v>
      </c>
      <c r="K109" s="504">
        <f>2.88*(E109+E110)/(100+100)</f>
        <v>3.4559999999999995</v>
      </c>
      <c r="L109" s="504">
        <v>0</v>
      </c>
      <c r="M109" s="504">
        <v>0</v>
      </c>
      <c r="N109" s="504">
        <f>77.8*(E109+E110)/(100+100)</f>
        <v>93.36</v>
      </c>
      <c r="O109" s="504">
        <v>0</v>
      </c>
      <c r="P109" s="504">
        <f>26.28*(E109+E110)/(100+100)</f>
        <v>31.536000000000005</v>
      </c>
      <c r="Q109" s="504">
        <f>1.82*(E109+E110)/(100+100)</f>
        <v>2.1840000000000002</v>
      </c>
      <c r="R109" s="307"/>
      <c r="S109" s="17"/>
    </row>
    <row r="110" spans="1:19" s="338" customFormat="1" ht="14.25" customHeight="1" x14ac:dyDescent="0.25">
      <c r="A110" s="505"/>
      <c r="B110" s="509"/>
      <c r="C110" s="510"/>
      <c r="D110" s="511"/>
      <c r="E110" s="122">
        <f>E109</f>
        <v>120</v>
      </c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311"/>
      <c r="S110" s="19"/>
    </row>
    <row r="111" spans="1:19" s="338" customFormat="1" ht="15.75" customHeight="1" x14ac:dyDescent="0.25">
      <c r="A111" s="106">
        <v>302</v>
      </c>
      <c r="B111" s="310" t="s">
        <v>175</v>
      </c>
      <c r="C111" s="310"/>
      <c r="D111" s="310"/>
      <c r="E111" s="115">
        <v>200</v>
      </c>
      <c r="F111" s="115">
        <f>8.6*E111/200</f>
        <v>8.6</v>
      </c>
      <c r="G111" s="115">
        <f>7.2*E111/200</f>
        <v>7.2</v>
      </c>
      <c r="H111" s="115">
        <f>47.6*E111/200</f>
        <v>47.6</v>
      </c>
      <c r="I111" s="115">
        <f>289.6*E111/200</f>
        <v>289.60000000000002</v>
      </c>
      <c r="J111" s="115"/>
      <c r="K111" s="115">
        <v>0</v>
      </c>
      <c r="L111" s="115">
        <v>0</v>
      </c>
      <c r="M111" s="115"/>
      <c r="N111" s="115">
        <f>14.64*E111/200</f>
        <v>14.64</v>
      </c>
      <c r="O111" s="115">
        <v>0</v>
      </c>
      <c r="P111" s="115">
        <f>40.45*E111/200</f>
        <v>40.450000000000003</v>
      </c>
      <c r="Q111" s="115">
        <f>3.41*E111/200</f>
        <v>3.41</v>
      </c>
      <c r="R111" s="311"/>
      <c r="S111" s="19"/>
    </row>
    <row r="112" spans="1:19" s="338" customFormat="1" ht="15.75" customHeight="1" x14ac:dyDescent="0.25">
      <c r="A112" s="106">
        <v>342</v>
      </c>
      <c r="B112" s="310" t="s">
        <v>38</v>
      </c>
      <c r="C112" s="310"/>
      <c r="D112" s="310"/>
      <c r="E112" s="100">
        <v>200</v>
      </c>
      <c r="F112" s="117">
        <v>0.08</v>
      </c>
      <c r="G112" s="117">
        <v>0</v>
      </c>
      <c r="H112" s="117">
        <v>21.82</v>
      </c>
      <c r="I112" s="117">
        <v>87.6</v>
      </c>
      <c r="J112" s="117">
        <v>0</v>
      </c>
      <c r="K112" s="117">
        <v>2.25</v>
      </c>
      <c r="L112" s="117">
        <v>0</v>
      </c>
      <c r="M112" s="117">
        <v>0</v>
      </c>
      <c r="N112" s="117">
        <v>17</v>
      </c>
      <c r="O112" s="117">
        <v>0</v>
      </c>
      <c r="P112" s="117">
        <v>9</v>
      </c>
      <c r="Q112" s="117">
        <v>2.2000000000000002</v>
      </c>
      <c r="R112" s="282"/>
      <c r="S112" s="29"/>
    </row>
    <row r="113" spans="1:34" s="338" customFormat="1" ht="15.75" customHeight="1" x14ac:dyDescent="0.25">
      <c r="A113" s="106" t="s">
        <v>27</v>
      </c>
      <c r="B113" s="310" t="s">
        <v>39</v>
      </c>
      <c r="C113" s="310"/>
      <c r="D113" s="310"/>
      <c r="E113" s="99">
        <v>120</v>
      </c>
      <c r="F113" s="117">
        <f>4.03*E113/50</f>
        <v>9.6720000000000006</v>
      </c>
      <c r="G113" s="117">
        <f>0.5*E113/50</f>
        <v>1.2</v>
      </c>
      <c r="H113" s="117">
        <f>22.36*E113/50</f>
        <v>53.663999999999994</v>
      </c>
      <c r="I113" s="117">
        <f>98.86*E113/50</f>
        <v>237.26400000000001</v>
      </c>
      <c r="J113" s="117">
        <v>0</v>
      </c>
      <c r="K113" s="117">
        <v>0</v>
      </c>
      <c r="L113" s="117">
        <v>0</v>
      </c>
      <c r="M113" s="117">
        <v>0</v>
      </c>
      <c r="N113" s="117">
        <f>17.59*E113/50</f>
        <v>42.216000000000001</v>
      </c>
      <c r="O113" s="117">
        <v>0</v>
      </c>
      <c r="P113" s="117">
        <f>1.89*E113/50</f>
        <v>4.5359999999999996</v>
      </c>
      <c r="Q113" s="117">
        <f>0.88*E113/50</f>
        <v>2.1120000000000001</v>
      </c>
      <c r="R113" s="307"/>
      <c r="S113" s="17"/>
    </row>
    <row r="114" spans="1:34" s="338" customFormat="1" ht="15.75" customHeight="1" x14ac:dyDescent="0.25">
      <c r="A114" s="106" t="s">
        <v>27</v>
      </c>
      <c r="B114" s="486" t="s">
        <v>28</v>
      </c>
      <c r="C114" s="487"/>
      <c r="D114" s="488"/>
      <c r="E114" s="99">
        <v>45</v>
      </c>
      <c r="F114" s="117">
        <f>2.26*E114/30</f>
        <v>3.3899999999999997</v>
      </c>
      <c r="G114" s="117">
        <f>0.23*E114/30</f>
        <v>0.34499999999999997</v>
      </c>
      <c r="H114" s="117">
        <f>14.66*E114/30</f>
        <v>21.990000000000002</v>
      </c>
      <c r="I114" s="117">
        <f>68.86*E114/30</f>
        <v>103.28999999999999</v>
      </c>
      <c r="J114" s="117">
        <v>0</v>
      </c>
      <c r="K114" s="117">
        <v>0</v>
      </c>
      <c r="L114" s="117">
        <v>0</v>
      </c>
      <c r="M114" s="117">
        <v>0</v>
      </c>
      <c r="N114" s="117">
        <f>12.97*E114/30</f>
        <v>19.454999999999998</v>
      </c>
      <c r="O114" s="117">
        <v>0</v>
      </c>
      <c r="P114" s="117">
        <f>2.83*E114/30</f>
        <v>4.2450000000000001</v>
      </c>
      <c r="Q114" s="117">
        <f>0.74*E114/30</f>
        <v>1.1099999999999999</v>
      </c>
      <c r="R114" s="307"/>
      <c r="S114" s="17"/>
    </row>
    <row r="115" spans="1:34" s="338" customFormat="1" ht="15.75" customHeight="1" x14ac:dyDescent="0.25">
      <c r="A115" s="106"/>
      <c r="B115" s="422" t="s">
        <v>65</v>
      </c>
      <c r="C115" s="423"/>
      <c r="D115" s="424"/>
      <c r="E115" s="100">
        <f t="shared" ref="E115:Q115" si="16">SUM(E107:E114)</f>
        <v>1155</v>
      </c>
      <c r="F115" s="117">
        <f t="shared" si="16"/>
        <v>55.244</v>
      </c>
      <c r="G115" s="117">
        <f t="shared" si="16"/>
        <v>36.213000000000001</v>
      </c>
      <c r="H115" s="117">
        <f t="shared" si="16"/>
        <v>191.80599999999998</v>
      </c>
      <c r="I115" s="117">
        <f t="shared" si="16"/>
        <v>1613.4540000000002</v>
      </c>
      <c r="J115" s="117">
        <f t="shared" si="16"/>
        <v>0</v>
      </c>
      <c r="K115" s="117">
        <f t="shared" si="16"/>
        <v>19.625999999999998</v>
      </c>
      <c r="L115" s="117">
        <f t="shared" si="16"/>
        <v>0</v>
      </c>
      <c r="M115" s="117">
        <f t="shared" si="16"/>
        <v>0</v>
      </c>
      <c r="N115" s="117">
        <f t="shared" si="16"/>
        <v>272.62099999999998</v>
      </c>
      <c r="O115" s="117">
        <f t="shared" si="16"/>
        <v>0</v>
      </c>
      <c r="P115" s="117">
        <f t="shared" si="16"/>
        <v>146.86700000000002</v>
      </c>
      <c r="Q115" s="117">
        <f t="shared" si="16"/>
        <v>13.805999999999999</v>
      </c>
      <c r="R115" s="282"/>
      <c r="S115" s="29"/>
    </row>
    <row r="116" spans="1:34" s="338" customFormat="1" ht="15.75" customHeight="1" x14ac:dyDescent="0.25">
      <c r="A116" s="201"/>
      <c r="B116" s="598" t="s">
        <v>41</v>
      </c>
      <c r="C116" s="599"/>
      <c r="D116" s="600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280"/>
      <c r="S116" s="1"/>
    </row>
    <row r="117" spans="1:34" s="338" customFormat="1" ht="19.5" customHeight="1" x14ac:dyDescent="0.25">
      <c r="A117" s="489">
        <v>223</v>
      </c>
      <c r="B117" s="492" t="s">
        <v>226</v>
      </c>
      <c r="C117" s="493"/>
      <c r="D117" s="494"/>
      <c r="E117" s="115">
        <v>200</v>
      </c>
      <c r="F117" s="489">
        <f>28.24*(E117+E118)/(200+50)</f>
        <v>28.24</v>
      </c>
      <c r="G117" s="489">
        <f>30.94*(E117+E118)/(200+50)</f>
        <v>30.94</v>
      </c>
      <c r="H117" s="489">
        <f>43.44*(E117+E118)/(200+50)</f>
        <v>43.44</v>
      </c>
      <c r="I117" s="489">
        <f>565.27*(E117+E118)/(200+50)</f>
        <v>565.27</v>
      </c>
      <c r="J117" s="489">
        <f>0*(E117+E118)/(200+50)</f>
        <v>0</v>
      </c>
      <c r="K117" s="489">
        <f>1.17*(E117+E118)/(200+50)</f>
        <v>1.17</v>
      </c>
      <c r="L117" s="489">
        <v>0</v>
      </c>
      <c r="M117" s="489">
        <v>0</v>
      </c>
      <c r="N117" s="489">
        <f>488.96*(E117+E118)/(200+50)</f>
        <v>488.96</v>
      </c>
      <c r="O117" s="489">
        <v>0</v>
      </c>
      <c r="P117" s="489">
        <f>66.39*(E117+E118)/(200+50)</f>
        <v>66.39</v>
      </c>
      <c r="Q117" s="489">
        <f>1.6*(E117+E118)/(200+50)</f>
        <v>1.6</v>
      </c>
      <c r="R117" s="309"/>
      <c r="S117" s="18"/>
    </row>
    <row r="118" spans="1:34" s="338" customFormat="1" ht="15.75" customHeight="1" x14ac:dyDescent="0.25">
      <c r="A118" s="491"/>
      <c r="B118" s="498"/>
      <c r="C118" s="499"/>
      <c r="D118" s="500"/>
      <c r="E118" s="337">
        <f>E117*25/100</f>
        <v>50</v>
      </c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1"/>
      <c r="Q118" s="491"/>
      <c r="R118" s="309"/>
      <c r="S118" s="18"/>
    </row>
    <row r="119" spans="1:34" s="338" customFormat="1" ht="15.75" customHeight="1" x14ac:dyDescent="0.25">
      <c r="A119" s="106">
        <v>382</v>
      </c>
      <c r="B119" s="486" t="s">
        <v>58</v>
      </c>
      <c r="C119" s="487"/>
      <c r="D119" s="488"/>
      <c r="E119" s="106">
        <v>200</v>
      </c>
      <c r="F119" s="117">
        <v>3.76</v>
      </c>
      <c r="G119" s="117">
        <v>3.2</v>
      </c>
      <c r="H119" s="117">
        <v>17.57</v>
      </c>
      <c r="I119" s="117">
        <v>114.12</v>
      </c>
      <c r="J119" s="117">
        <v>0</v>
      </c>
      <c r="K119" s="117">
        <v>1.58</v>
      </c>
      <c r="L119" s="117">
        <v>0</v>
      </c>
      <c r="M119" s="117">
        <v>0</v>
      </c>
      <c r="N119" s="117">
        <v>152.22</v>
      </c>
      <c r="O119" s="117">
        <v>0</v>
      </c>
      <c r="P119" s="117">
        <v>21.34</v>
      </c>
      <c r="Q119" s="117">
        <v>0.47</v>
      </c>
      <c r="R119" s="282"/>
      <c r="S119" s="29"/>
    </row>
    <row r="120" spans="1:34" s="338" customFormat="1" ht="16.5" customHeight="1" x14ac:dyDescent="0.25">
      <c r="A120" s="335"/>
      <c r="B120" s="422" t="s">
        <v>86</v>
      </c>
      <c r="C120" s="423"/>
      <c r="D120" s="424"/>
      <c r="E120" s="335">
        <f>SUM(E117:E119)</f>
        <v>450</v>
      </c>
      <c r="F120" s="308">
        <f t="shared" ref="F120:Q120" si="17">F117+F119</f>
        <v>32</v>
      </c>
      <c r="G120" s="308">
        <f t="shared" si="17"/>
        <v>34.14</v>
      </c>
      <c r="H120" s="308">
        <f t="shared" si="17"/>
        <v>61.01</v>
      </c>
      <c r="I120" s="308">
        <f t="shared" si="17"/>
        <v>679.39</v>
      </c>
      <c r="J120" s="308">
        <f t="shared" si="17"/>
        <v>0</v>
      </c>
      <c r="K120" s="308">
        <f t="shared" si="17"/>
        <v>2.75</v>
      </c>
      <c r="L120" s="308">
        <f t="shared" si="17"/>
        <v>0</v>
      </c>
      <c r="M120" s="308">
        <f t="shared" si="17"/>
        <v>0</v>
      </c>
      <c r="N120" s="308">
        <f t="shared" si="17"/>
        <v>641.17999999999995</v>
      </c>
      <c r="O120" s="308">
        <f t="shared" si="17"/>
        <v>0</v>
      </c>
      <c r="P120" s="308">
        <f t="shared" si="17"/>
        <v>87.73</v>
      </c>
      <c r="Q120" s="308">
        <f t="shared" si="17"/>
        <v>2.0700000000000003</v>
      </c>
      <c r="R120" s="282"/>
      <c r="S120" s="29"/>
    </row>
    <row r="121" spans="1:34" s="338" customFormat="1" ht="18.75" customHeight="1" x14ac:dyDescent="0.25">
      <c r="A121" s="201"/>
      <c r="B121" s="513" t="s">
        <v>44</v>
      </c>
      <c r="C121" s="514"/>
      <c r="D121" s="515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280"/>
      <c r="S121" s="1"/>
    </row>
    <row r="122" spans="1:34" s="338" customFormat="1" ht="16.5" customHeight="1" x14ac:dyDescent="0.25">
      <c r="A122" s="115" t="s">
        <v>133</v>
      </c>
      <c r="B122" s="519" t="s">
        <v>176</v>
      </c>
      <c r="C122" s="520"/>
      <c r="D122" s="521"/>
      <c r="E122" s="115">
        <v>30</v>
      </c>
      <c r="F122" s="115">
        <f>1.55*E122/50</f>
        <v>0.93</v>
      </c>
      <c r="G122" s="115">
        <f>0*E122/50</f>
        <v>0</v>
      </c>
      <c r="H122" s="115">
        <f>3.25*E122/50</f>
        <v>1.95</v>
      </c>
      <c r="I122" s="115">
        <f>22.5*E122/50</f>
        <v>13.5</v>
      </c>
      <c r="J122" s="115">
        <f>0*E122/50</f>
        <v>0</v>
      </c>
      <c r="K122" s="115">
        <f>5*E122/50</f>
        <v>3</v>
      </c>
      <c r="L122" s="115">
        <f>0*E122/50</f>
        <v>0</v>
      </c>
      <c r="M122" s="115">
        <v>0</v>
      </c>
      <c r="N122" s="115">
        <f>10*E122/50</f>
        <v>6</v>
      </c>
      <c r="O122" s="115">
        <v>0</v>
      </c>
      <c r="P122" s="115">
        <f>10*E122/50</f>
        <v>6</v>
      </c>
      <c r="Q122" s="115">
        <f>0.35*E122/50</f>
        <v>0.21</v>
      </c>
      <c r="R122" s="282"/>
      <c r="S122" s="29"/>
    </row>
    <row r="123" spans="1:34" s="338" customFormat="1" ht="14.25" customHeight="1" x14ac:dyDescent="0.25">
      <c r="A123" s="504" t="s">
        <v>89</v>
      </c>
      <c r="B123" s="506" t="s">
        <v>177</v>
      </c>
      <c r="C123" s="507"/>
      <c r="D123" s="508"/>
      <c r="E123" s="106">
        <v>120</v>
      </c>
      <c r="F123" s="734">
        <f>15.84*(E123+E124)/(100+50)</f>
        <v>19.007999999999999</v>
      </c>
      <c r="G123" s="734">
        <f>22.54*(E123+E124)/(100+50)</f>
        <v>27.047999999999998</v>
      </c>
      <c r="H123" s="734">
        <f>13.22*(E123+E124)/(100+50)</f>
        <v>15.863999999999999</v>
      </c>
      <c r="I123" s="734">
        <f>322*(E123+E124)/(100+50)</f>
        <v>386.4</v>
      </c>
      <c r="J123" s="734">
        <v>0</v>
      </c>
      <c r="K123" s="734">
        <v>0</v>
      </c>
      <c r="L123" s="734">
        <v>0</v>
      </c>
      <c r="M123" s="734">
        <v>0</v>
      </c>
      <c r="N123" s="734">
        <f>12.82*(E123+E124)/(100+50)</f>
        <v>15.383999999999999</v>
      </c>
      <c r="O123" s="734">
        <v>0</v>
      </c>
      <c r="P123" s="734">
        <f>30.6*(E123+E124)/(100+50)</f>
        <v>36.72</v>
      </c>
      <c r="Q123" s="734">
        <f>2.7*(E123+E124)/(100+50)</f>
        <v>3.24</v>
      </c>
      <c r="R123" s="282"/>
      <c r="S123" s="29"/>
    </row>
    <row r="124" spans="1:34" s="338" customFormat="1" ht="12" customHeight="1" x14ac:dyDescent="0.25">
      <c r="A124" s="505"/>
      <c r="B124" s="509"/>
      <c r="C124" s="510"/>
      <c r="D124" s="511"/>
      <c r="E124" s="138">
        <f>E123/2</f>
        <v>60</v>
      </c>
      <c r="F124" s="735"/>
      <c r="G124" s="735"/>
      <c r="H124" s="735"/>
      <c r="I124" s="735"/>
      <c r="J124" s="735"/>
      <c r="K124" s="735"/>
      <c r="L124" s="735"/>
      <c r="M124" s="735"/>
      <c r="N124" s="735"/>
      <c r="O124" s="735"/>
      <c r="P124" s="735"/>
      <c r="Q124" s="735"/>
      <c r="R124" s="282"/>
      <c r="S124" s="29"/>
    </row>
    <row r="125" spans="1:34" s="338" customFormat="1" ht="12.75" customHeight="1" x14ac:dyDescent="0.25">
      <c r="A125" s="737">
        <v>171</v>
      </c>
      <c r="B125" s="506" t="s">
        <v>178</v>
      </c>
      <c r="C125" s="507"/>
      <c r="D125" s="508"/>
      <c r="E125" s="200">
        <v>200</v>
      </c>
      <c r="F125" s="732">
        <v>11.33</v>
      </c>
      <c r="G125" s="732">
        <v>6.63</v>
      </c>
      <c r="H125" s="732">
        <v>58.84</v>
      </c>
      <c r="I125" s="732">
        <v>340.37</v>
      </c>
      <c r="J125" s="732">
        <v>0.5</v>
      </c>
      <c r="K125" s="732">
        <v>0</v>
      </c>
      <c r="L125" s="732">
        <v>0</v>
      </c>
      <c r="M125" s="732">
        <v>5.32</v>
      </c>
      <c r="N125" s="732">
        <v>68.180000000000007</v>
      </c>
      <c r="O125" s="732">
        <v>284.5</v>
      </c>
      <c r="P125" s="732">
        <v>93.31</v>
      </c>
      <c r="Q125" s="732">
        <v>7.61</v>
      </c>
      <c r="R125" s="282"/>
      <c r="S125" s="29"/>
    </row>
    <row r="126" spans="1:34" s="338" customFormat="1" ht="14.25" customHeight="1" x14ac:dyDescent="0.25">
      <c r="A126" s="738"/>
      <c r="B126" s="509"/>
      <c r="C126" s="510"/>
      <c r="D126" s="511"/>
      <c r="E126" s="100">
        <f>E125*5.26/100</f>
        <v>10.52</v>
      </c>
      <c r="F126" s="733"/>
      <c r="G126" s="733"/>
      <c r="H126" s="733"/>
      <c r="I126" s="733"/>
      <c r="J126" s="733"/>
      <c r="K126" s="733"/>
      <c r="L126" s="733"/>
      <c r="M126" s="733"/>
      <c r="N126" s="733"/>
      <c r="O126" s="733"/>
      <c r="P126" s="733"/>
      <c r="Q126" s="733"/>
      <c r="R126" s="282"/>
      <c r="S126" s="29"/>
    </row>
    <row r="127" spans="1:34" s="338" customFormat="1" ht="15.75" customHeight="1" x14ac:dyDescent="0.25">
      <c r="A127" s="106">
        <v>389</v>
      </c>
      <c r="B127" s="486" t="s">
        <v>168</v>
      </c>
      <c r="C127" s="487"/>
      <c r="D127" s="488"/>
      <c r="E127" s="100">
        <v>180</v>
      </c>
      <c r="F127" s="117">
        <v>1</v>
      </c>
      <c r="G127" s="117">
        <v>0</v>
      </c>
      <c r="H127" s="117">
        <v>20.2</v>
      </c>
      <c r="I127" s="117">
        <v>84.8</v>
      </c>
      <c r="J127" s="117">
        <v>0</v>
      </c>
      <c r="K127" s="117">
        <v>4</v>
      </c>
      <c r="L127" s="117">
        <v>0</v>
      </c>
      <c r="M127" s="117">
        <v>0</v>
      </c>
      <c r="N127" s="117">
        <v>14</v>
      </c>
      <c r="O127" s="117">
        <v>0</v>
      </c>
      <c r="P127" s="117">
        <v>8</v>
      </c>
      <c r="Q127" s="117">
        <v>2.8</v>
      </c>
      <c r="R127" s="282"/>
      <c r="S127" s="29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s="338" customFormat="1" ht="15.75" customHeight="1" x14ac:dyDescent="0.25">
      <c r="A128" s="106" t="s">
        <v>27</v>
      </c>
      <c r="B128" s="486" t="s">
        <v>39</v>
      </c>
      <c r="C128" s="487"/>
      <c r="D128" s="488"/>
      <c r="E128" s="99">
        <v>75</v>
      </c>
      <c r="F128" s="117">
        <f>4.03*E128/50</f>
        <v>6.0449999999999999</v>
      </c>
      <c r="G128" s="117">
        <f>0.5*E128/50</f>
        <v>0.75</v>
      </c>
      <c r="H128" s="117">
        <f>22.36*E128/50</f>
        <v>33.54</v>
      </c>
      <c r="I128" s="117">
        <f>98.86*E128/50</f>
        <v>148.29</v>
      </c>
      <c r="J128" s="117">
        <v>0</v>
      </c>
      <c r="K128" s="117">
        <v>0</v>
      </c>
      <c r="L128" s="117">
        <v>0</v>
      </c>
      <c r="M128" s="117">
        <v>0</v>
      </c>
      <c r="N128" s="117">
        <f>17.59*E128/50</f>
        <v>26.385000000000002</v>
      </c>
      <c r="O128" s="117">
        <v>0</v>
      </c>
      <c r="P128" s="117">
        <f>1.89*E128/50</f>
        <v>2.835</v>
      </c>
      <c r="Q128" s="117">
        <f>0.88*E128/50</f>
        <v>1.32</v>
      </c>
      <c r="R128" s="307"/>
      <c r="S128" s="17"/>
    </row>
    <row r="129" spans="1:19" s="338" customFormat="1" ht="15.75" customHeight="1" x14ac:dyDescent="0.25">
      <c r="A129" s="106" t="s">
        <v>27</v>
      </c>
      <c r="B129" s="486" t="s">
        <v>28</v>
      </c>
      <c r="C129" s="487"/>
      <c r="D129" s="488"/>
      <c r="E129" s="99">
        <v>45</v>
      </c>
      <c r="F129" s="117">
        <f>2.26*E129/30</f>
        <v>3.3899999999999997</v>
      </c>
      <c r="G129" s="117">
        <f>0.23*E129/30</f>
        <v>0.34499999999999997</v>
      </c>
      <c r="H129" s="117">
        <f>14.66*E129/30</f>
        <v>21.990000000000002</v>
      </c>
      <c r="I129" s="117">
        <f>68.86*E129/30</f>
        <v>103.28999999999999</v>
      </c>
      <c r="J129" s="117">
        <v>0</v>
      </c>
      <c r="K129" s="117">
        <v>0</v>
      </c>
      <c r="L129" s="117">
        <v>0</v>
      </c>
      <c r="M129" s="117">
        <v>0</v>
      </c>
      <c r="N129" s="117">
        <f>12.97*E129/30</f>
        <v>19.454999999999998</v>
      </c>
      <c r="O129" s="117">
        <v>0</v>
      </c>
      <c r="P129" s="117">
        <f>2.83*E129/30</f>
        <v>4.2450000000000001</v>
      </c>
      <c r="Q129" s="117">
        <f>0.74*E129/30</f>
        <v>1.1099999999999999</v>
      </c>
      <c r="R129" s="307"/>
      <c r="S129" s="17"/>
    </row>
    <row r="130" spans="1:19" s="338" customFormat="1" ht="15.75" customHeight="1" x14ac:dyDescent="0.25">
      <c r="A130" s="106"/>
      <c r="B130" s="422" t="s">
        <v>72</v>
      </c>
      <c r="C130" s="423"/>
      <c r="D130" s="424"/>
      <c r="E130" s="99">
        <f t="shared" ref="E130:Q130" si="18">SUM(E122:E129)</f>
        <v>720.52</v>
      </c>
      <c r="F130" s="117">
        <f t="shared" si="18"/>
        <v>41.703000000000003</v>
      </c>
      <c r="G130" s="117">
        <f t="shared" si="18"/>
        <v>34.772999999999996</v>
      </c>
      <c r="H130" s="117">
        <f t="shared" si="18"/>
        <v>152.38400000000001</v>
      </c>
      <c r="I130" s="117">
        <f t="shared" si="18"/>
        <v>1076.6499999999999</v>
      </c>
      <c r="J130" s="117">
        <f t="shared" si="18"/>
        <v>0.5</v>
      </c>
      <c r="K130" s="117">
        <f t="shared" si="18"/>
        <v>7</v>
      </c>
      <c r="L130" s="117">
        <f t="shared" si="18"/>
        <v>0</v>
      </c>
      <c r="M130" s="117">
        <f t="shared" si="18"/>
        <v>5.32</v>
      </c>
      <c r="N130" s="117">
        <f t="shared" si="18"/>
        <v>149.404</v>
      </c>
      <c r="O130" s="117">
        <f t="shared" si="18"/>
        <v>284.5</v>
      </c>
      <c r="P130" s="117">
        <f t="shared" si="18"/>
        <v>151.11000000000001</v>
      </c>
      <c r="Q130" s="117">
        <f t="shared" si="18"/>
        <v>16.29</v>
      </c>
      <c r="R130" s="307"/>
      <c r="S130" s="29"/>
    </row>
    <row r="131" spans="1:19" s="338" customFormat="1" ht="15.75" customHeight="1" x14ac:dyDescent="0.25">
      <c r="A131" s="201"/>
      <c r="B131" s="513" t="s">
        <v>49</v>
      </c>
      <c r="C131" s="514"/>
      <c r="D131" s="515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280"/>
      <c r="S131" s="1"/>
    </row>
    <row r="132" spans="1:19" s="338" customFormat="1" ht="18" customHeight="1" x14ac:dyDescent="0.25">
      <c r="A132" s="102">
        <v>386</v>
      </c>
      <c r="B132" s="516" t="s">
        <v>74</v>
      </c>
      <c r="C132" s="517"/>
      <c r="D132" s="518"/>
      <c r="E132" s="199">
        <v>200</v>
      </c>
      <c r="F132" s="196">
        <v>4.32</v>
      </c>
      <c r="G132" s="196">
        <v>2.5</v>
      </c>
      <c r="H132" s="196">
        <v>9.8800000000000008</v>
      </c>
      <c r="I132" s="196">
        <v>84.8</v>
      </c>
      <c r="J132" s="196">
        <v>0</v>
      </c>
      <c r="K132" s="196">
        <v>0</v>
      </c>
      <c r="L132" s="196">
        <v>0</v>
      </c>
      <c r="M132" s="196">
        <v>0</v>
      </c>
      <c r="N132" s="196">
        <v>120.96</v>
      </c>
      <c r="O132" s="196">
        <v>0</v>
      </c>
      <c r="P132" s="196">
        <v>14.11</v>
      </c>
      <c r="Q132" s="196">
        <v>0.1</v>
      </c>
      <c r="R132" s="306"/>
      <c r="S132" s="71"/>
    </row>
    <row r="133" spans="1:19" s="338" customFormat="1" ht="15.75" customHeight="1" x14ac:dyDescent="0.25">
      <c r="A133" s="106"/>
      <c r="B133" s="422" t="s">
        <v>52</v>
      </c>
      <c r="C133" s="423"/>
      <c r="D133" s="424"/>
      <c r="E133" s="91">
        <f>E132+20</f>
        <v>220</v>
      </c>
      <c r="F133" s="144">
        <f t="shared" ref="F133:Q133" si="19">F132+F134</f>
        <v>4.32</v>
      </c>
      <c r="G133" s="144">
        <f t="shared" si="19"/>
        <v>2.5</v>
      </c>
      <c r="H133" s="144">
        <f t="shared" si="19"/>
        <v>9.8800000000000008</v>
      </c>
      <c r="I133" s="144">
        <f t="shared" si="19"/>
        <v>84.8</v>
      </c>
      <c r="J133" s="144">
        <f t="shared" si="19"/>
        <v>0</v>
      </c>
      <c r="K133" s="144">
        <f t="shared" si="19"/>
        <v>0</v>
      </c>
      <c r="L133" s="144">
        <f t="shared" si="19"/>
        <v>0</v>
      </c>
      <c r="M133" s="144">
        <f t="shared" si="19"/>
        <v>0</v>
      </c>
      <c r="N133" s="144">
        <f t="shared" si="19"/>
        <v>150.4</v>
      </c>
      <c r="O133" s="144">
        <f t="shared" si="19"/>
        <v>0</v>
      </c>
      <c r="P133" s="144">
        <f t="shared" si="19"/>
        <v>15.87</v>
      </c>
      <c r="Q133" s="144">
        <f t="shared" si="19"/>
        <v>0.33</v>
      </c>
      <c r="R133" s="280"/>
      <c r="S133" s="1"/>
    </row>
    <row r="134" spans="1:19" s="338" customFormat="1" ht="15.75" customHeight="1" x14ac:dyDescent="0.25">
      <c r="A134" s="219"/>
      <c r="B134" s="519" t="s">
        <v>53</v>
      </c>
      <c r="C134" s="520"/>
      <c r="D134" s="521"/>
      <c r="E134" s="230">
        <v>8</v>
      </c>
      <c r="F134" s="146"/>
      <c r="G134" s="146"/>
      <c r="H134" s="146"/>
      <c r="I134" s="146"/>
      <c r="J134" s="146"/>
      <c r="K134" s="146"/>
      <c r="L134" s="146"/>
      <c r="M134" s="146"/>
      <c r="N134" s="146">
        <v>29.44</v>
      </c>
      <c r="O134" s="146"/>
      <c r="P134" s="146">
        <v>1.76</v>
      </c>
      <c r="Q134" s="146">
        <v>0.23</v>
      </c>
      <c r="R134" s="280"/>
      <c r="S134" s="1"/>
    </row>
    <row r="135" spans="1:19" s="338" customFormat="1" ht="15.75" customHeight="1" x14ac:dyDescent="0.25">
      <c r="A135" s="106"/>
      <c r="B135" s="422" t="s">
        <v>94</v>
      </c>
      <c r="C135" s="423"/>
      <c r="D135" s="424"/>
      <c r="E135" s="88">
        <f t="shared" ref="E135:M135" si="20">SUM(E102,E105,E115,E120,E130,E133)</f>
        <v>3395.52</v>
      </c>
      <c r="F135" s="144">
        <f t="shared" si="20"/>
        <v>159.8845</v>
      </c>
      <c r="G135" s="144">
        <f t="shared" si="20"/>
        <v>138.10599999999999</v>
      </c>
      <c r="H135" s="144">
        <f t="shared" si="20"/>
        <v>526.02499999999998</v>
      </c>
      <c r="I135" s="144">
        <f t="shared" si="20"/>
        <v>4424.8440000000001</v>
      </c>
      <c r="J135" s="144">
        <f t="shared" si="20"/>
        <v>0.56000000000000005</v>
      </c>
      <c r="K135" s="144">
        <f t="shared" si="20"/>
        <v>60.918499999999995</v>
      </c>
      <c r="L135" s="144">
        <f t="shared" si="20"/>
        <v>0.13</v>
      </c>
      <c r="M135" s="144">
        <f t="shared" si="20"/>
        <v>6.73</v>
      </c>
      <c r="N135" s="144">
        <f>SUM(N102,N105,N115,N120,N130,N133,N134)</f>
        <v>1721.2375000000002</v>
      </c>
      <c r="O135" s="144">
        <f>SUM(O102,O105,O115,O120,O130,O133)</f>
        <v>293.95</v>
      </c>
      <c r="P135" s="144">
        <f>SUM(P102,P105,P115,P120,P130,P133)</f>
        <v>589.77700000000004</v>
      </c>
      <c r="Q135" s="144">
        <f>SUM(Q102,Q105,Q115,Q120,Q130,Q133)</f>
        <v>36.685999999999993</v>
      </c>
      <c r="R135" s="280"/>
      <c r="S135" s="1"/>
    </row>
    <row r="136" spans="1:19" s="354" customFormat="1" ht="28.5" customHeight="1" x14ac:dyDescent="0.25">
      <c r="A136" s="523" t="s">
        <v>95</v>
      </c>
      <c r="B136" s="524"/>
      <c r="C136" s="524"/>
      <c r="D136" s="524"/>
      <c r="E136" s="524"/>
      <c r="F136" s="524"/>
      <c r="G136" s="524"/>
      <c r="H136" s="524"/>
      <c r="I136" s="524"/>
      <c r="J136" s="524"/>
      <c r="K136" s="524"/>
      <c r="L136" s="524"/>
      <c r="M136" s="524"/>
      <c r="N136" s="524"/>
      <c r="O136" s="524"/>
      <c r="P136" s="524"/>
      <c r="Q136" s="524"/>
      <c r="R136" s="525"/>
      <c r="S136" s="1"/>
    </row>
    <row r="137" spans="1:19" s="354" customFormat="1" ht="15.75" customHeight="1" x14ac:dyDescent="0.25">
      <c r="A137" s="526" t="s">
        <v>3</v>
      </c>
      <c r="B137" s="766" t="s">
        <v>4</v>
      </c>
      <c r="C137" s="767"/>
      <c r="D137" s="768"/>
      <c r="E137" s="529" t="s">
        <v>5</v>
      </c>
      <c r="F137" s="530" t="s">
        <v>6</v>
      </c>
      <c r="G137" s="440"/>
      <c r="H137" s="441"/>
      <c r="I137" s="529" t="s">
        <v>7</v>
      </c>
      <c r="J137" s="530" t="s">
        <v>8</v>
      </c>
      <c r="K137" s="440"/>
      <c r="L137" s="440"/>
      <c r="M137" s="441"/>
      <c r="N137" s="530" t="s">
        <v>9</v>
      </c>
      <c r="O137" s="440"/>
      <c r="P137" s="440"/>
      <c r="Q137" s="441"/>
      <c r="R137" s="1"/>
      <c r="S137" s="1"/>
    </row>
    <row r="138" spans="1:19" s="354" customFormat="1" ht="15.75" customHeight="1" x14ac:dyDescent="0.25">
      <c r="A138" s="527"/>
      <c r="B138" s="769"/>
      <c r="C138" s="770"/>
      <c r="D138" s="771"/>
      <c r="E138" s="527"/>
      <c r="F138" s="33" t="s">
        <v>10</v>
      </c>
      <c r="G138" s="33" t="s">
        <v>11</v>
      </c>
      <c r="H138" s="33" t="s">
        <v>12</v>
      </c>
      <c r="I138" s="527"/>
      <c r="J138" s="34" t="s">
        <v>13</v>
      </c>
      <c r="K138" s="34" t="s">
        <v>14</v>
      </c>
      <c r="L138" s="34" t="s">
        <v>15</v>
      </c>
      <c r="M138" s="345" t="s">
        <v>16</v>
      </c>
      <c r="N138" s="36" t="s">
        <v>17</v>
      </c>
      <c r="O138" s="34" t="s">
        <v>18</v>
      </c>
      <c r="P138" s="34" t="s">
        <v>19</v>
      </c>
      <c r="Q138" s="345" t="s">
        <v>20</v>
      </c>
      <c r="R138" s="1"/>
      <c r="S138" s="1"/>
    </row>
    <row r="139" spans="1:19" s="354" customFormat="1" ht="15.75" customHeight="1" x14ac:dyDescent="0.25">
      <c r="A139" s="9">
        <v>1</v>
      </c>
      <c r="B139" s="532">
        <v>2</v>
      </c>
      <c r="C139" s="440"/>
      <c r="D139" s="441"/>
      <c r="E139" s="57">
        <v>3</v>
      </c>
      <c r="F139" s="57">
        <v>4</v>
      </c>
      <c r="G139" s="57">
        <v>5</v>
      </c>
      <c r="H139" s="57">
        <v>6</v>
      </c>
      <c r="I139" s="58">
        <v>7</v>
      </c>
      <c r="J139" s="57">
        <v>8</v>
      </c>
      <c r="K139" s="57">
        <v>9</v>
      </c>
      <c r="L139" s="57">
        <v>10</v>
      </c>
      <c r="M139" s="59">
        <v>11</v>
      </c>
      <c r="N139" s="57">
        <v>12</v>
      </c>
      <c r="O139" s="57">
        <v>13</v>
      </c>
      <c r="P139" s="57">
        <v>14</v>
      </c>
      <c r="Q139" s="60">
        <v>15</v>
      </c>
      <c r="R139" s="1"/>
      <c r="S139" s="1"/>
    </row>
    <row r="140" spans="1:19" s="354" customFormat="1" ht="15.75" customHeight="1" x14ac:dyDescent="0.25">
      <c r="A140" s="201"/>
      <c r="B140" s="522" t="s">
        <v>21</v>
      </c>
      <c r="C140" s="446"/>
      <c r="D140" s="447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"/>
      <c r="S140" s="1"/>
    </row>
    <row r="141" spans="1:19" s="354" customFormat="1" ht="17.25" customHeight="1" x14ac:dyDescent="0.25">
      <c r="A141" s="106">
        <v>3</v>
      </c>
      <c r="B141" s="439" t="s">
        <v>56</v>
      </c>
      <c r="C141" s="440"/>
      <c r="D141" s="441"/>
      <c r="E141" s="128" t="s">
        <v>181</v>
      </c>
      <c r="F141" s="129">
        <v>6.23</v>
      </c>
      <c r="G141" s="129">
        <v>10.83</v>
      </c>
      <c r="H141" s="129">
        <v>23.46</v>
      </c>
      <c r="I141" s="129">
        <v>216.14</v>
      </c>
      <c r="J141" s="129">
        <v>8.5000000000000006E-2</v>
      </c>
      <c r="K141" s="129">
        <v>0.19</v>
      </c>
      <c r="L141" s="129">
        <v>3.1E-2</v>
      </c>
      <c r="M141" s="129">
        <v>0.04</v>
      </c>
      <c r="N141" s="129">
        <v>134.9</v>
      </c>
      <c r="O141" s="129">
        <v>110.28</v>
      </c>
      <c r="P141" s="129">
        <v>23.44</v>
      </c>
      <c r="Q141" s="129">
        <v>0.89</v>
      </c>
      <c r="R141" s="72"/>
      <c r="S141" s="1"/>
    </row>
    <row r="142" spans="1:19" s="354" customFormat="1" ht="16.5" customHeight="1" x14ac:dyDescent="0.25">
      <c r="A142" s="533">
        <v>210</v>
      </c>
      <c r="B142" s="534" t="s">
        <v>79</v>
      </c>
      <c r="C142" s="476"/>
      <c r="D142" s="477"/>
      <c r="E142" s="102">
        <v>220</v>
      </c>
      <c r="F142" s="531">
        <f>15*E142/160</f>
        <v>20.625</v>
      </c>
      <c r="G142" s="531">
        <f>23.29*E142/160</f>
        <v>32.02375</v>
      </c>
      <c r="H142" s="531">
        <f>2.95*E142/160</f>
        <v>4.0562500000000004</v>
      </c>
      <c r="I142" s="531">
        <f>281.41*E142/160</f>
        <v>386.93875000000003</v>
      </c>
      <c r="J142" s="531">
        <f>0*E142/160</f>
        <v>0</v>
      </c>
      <c r="K142" s="531">
        <f>0.3*E142/160</f>
        <v>0.41249999999999998</v>
      </c>
      <c r="L142" s="531">
        <f>0*E142/160</f>
        <v>0</v>
      </c>
      <c r="M142" s="531">
        <f>0*E142/160</f>
        <v>0</v>
      </c>
      <c r="N142" s="531">
        <f>125.6*E142/160</f>
        <v>172.7</v>
      </c>
      <c r="O142" s="531">
        <f>0*E142/160</f>
        <v>0</v>
      </c>
      <c r="P142" s="531">
        <f>20.8*E142/160</f>
        <v>28.6</v>
      </c>
      <c r="Q142" s="531">
        <f>3.08*E142/160</f>
        <v>4.2350000000000003</v>
      </c>
      <c r="R142" s="1"/>
      <c r="S142" s="1"/>
    </row>
    <row r="143" spans="1:19" s="354" customFormat="1" ht="15.75" customHeight="1" x14ac:dyDescent="0.25">
      <c r="A143" s="471"/>
      <c r="B143" s="478"/>
      <c r="C143" s="479"/>
      <c r="D143" s="480"/>
      <c r="E143" s="128">
        <f>E142*3.125/100</f>
        <v>6.875</v>
      </c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Q143" s="471"/>
      <c r="R143" s="1"/>
      <c r="S143" s="1"/>
    </row>
    <row r="144" spans="1:19" s="354" customFormat="1" ht="15.75" customHeight="1" x14ac:dyDescent="0.25">
      <c r="A144" s="115" t="s">
        <v>27</v>
      </c>
      <c r="B144" s="433" t="s">
        <v>96</v>
      </c>
      <c r="C144" s="440"/>
      <c r="D144" s="441"/>
      <c r="E144" s="115">
        <v>50</v>
      </c>
      <c r="F144" s="115">
        <v>1.3</v>
      </c>
      <c r="G144" s="115">
        <v>3.59</v>
      </c>
      <c r="H144" s="115">
        <v>7.27</v>
      </c>
      <c r="I144" s="115">
        <v>66.900000000000006</v>
      </c>
      <c r="J144" s="115">
        <f>0*E144/50</f>
        <v>0</v>
      </c>
      <c r="K144" s="115">
        <v>2.33</v>
      </c>
      <c r="L144" s="115">
        <f>0*E144/50</f>
        <v>0</v>
      </c>
      <c r="M144" s="115">
        <v>0</v>
      </c>
      <c r="N144" s="115">
        <v>45.46</v>
      </c>
      <c r="O144" s="115">
        <v>0</v>
      </c>
      <c r="P144" s="115">
        <v>9.0500000000000007</v>
      </c>
      <c r="Q144" s="115">
        <v>0.37</v>
      </c>
      <c r="R144" s="1"/>
      <c r="S144" s="1"/>
    </row>
    <row r="145" spans="1:19" s="354" customFormat="1" ht="15.75" customHeight="1" x14ac:dyDescent="0.25">
      <c r="A145" s="106">
        <v>382</v>
      </c>
      <c r="B145" s="439" t="s">
        <v>58</v>
      </c>
      <c r="C145" s="440"/>
      <c r="D145" s="441"/>
      <c r="E145" s="349">
        <v>200</v>
      </c>
      <c r="F145" s="347">
        <v>3.08</v>
      </c>
      <c r="G145" s="347">
        <v>2.5</v>
      </c>
      <c r="H145" s="347">
        <v>22.54</v>
      </c>
      <c r="I145" s="347">
        <v>125</v>
      </c>
      <c r="J145" s="347">
        <v>3.2000000000000001E-2</v>
      </c>
      <c r="K145" s="347">
        <v>1</v>
      </c>
      <c r="L145" s="347">
        <v>0.02</v>
      </c>
      <c r="M145" s="347">
        <v>0.09</v>
      </c>
      <c r="N145" s="347">
        <v>121.76</v>
      </c>
      <c r="O145" s="347">
        <v>106.42</v>
      </c>
      <c r="P145" s="347">
        <v>15.8</v>
      </c>
      <c r="Q145" s="347">
        <v>0.39</v>
      </c>
      <c r="R145" s="1"/>
      <c r="S145" s="1"/>
    </row>
    <row r="146" spans="1:19" s="354" customFormat="1" ht="15.75" customHeight="1" x14ac:dyDescent="0.25">
      <c r="A146" s="106" t="s">
        <v>27</v>
      </c>
      <c r="B146" s="439" t="s">
        <v>28</v>
      </c>
      <c r="C146" s="440"/>
      <c r="D146" s="441"/>
      <c r="E146" s="99">
        <v>45</v>
      </c>
      <c r="F146" s="117">
        <f>2.26*E146/30</f>
        <v>3.3899999999999997</v>
      </c>
      <c r="G146" s="117">
        <f>0.23*E146/30</f>
        <v>0.34499999999999997</v>
      </c>
      <c r="H146" s="117">
        <f>14.66*E146/30</f>
        <v>21.990000000000002</v>
      </c>
      <c r="I146" s="117">
        <f>68.86*E146/30</f>
        <v>103.28999999999999</v>
      </c>
      <c r="J146" s="117">
        <v>0</v>
      </c>
      <c r="K146" s="117">
        <v>0</v>
      </c>
      <c r="L146" s="117">
        <v>0</v>
      </c>
      <c r="M146" s="117">
        <v>0</v>
      </c>
      <c r="N146" s="117">
        <f>12.97*E146/30</f>
        <v>19.454999999999998</v>
      </c>
      <c r="O146" s="117">
        <v>0</v>
      </c>
      <c r="P146" s="117">
        <f>2.83*E146/30</f>
        <v>4.2450000000000001</v>
      </c>
      <c r="Q146" s="117">
        <f>0.74*E146/30</f>
        <v>1.1099999999999999</v>
      </c>
      <c r="R146" s="1"/>
      <c r="S146" s="1"/>
    </row>
    <row r="147" spans="1:19" s="354" customFormat="1" ht="15.75" customHeight="1" x14ac:dyDescent="0.25">
      <c r="A147" s="106"/>
      <c r="B147" s="442" t="s">
        <v>29</v>
      </c>
      <c r="C147" s="472"/>
      <c r="D147" s="473"/>
      <c r="E147" s="99">
        <f>SUM(E141:E145)+5+15+30</f>
        <v>526.875</v>
      </c>
      <c r="F147" s="117">
        <f t="shared" ref="F147:J147" si="21">SUM(F141:F146)</f>
        <v>34.625</v>
      </c>
      <c r="G147" s="117">
        <f t="shared" si="21"/>
        <v>49.288749999999993</v>
      </c>
      <c r="H147" s="117">
        <f t="shared" si="21"/>
        <v>79.316249999999997</v>
      </c>
      <c r="I147" s="117">
        <f t="shared" si="21"/>
        <v>898.26874999999995</v>
      </c>
      <c r="J147" s="132">
        <f t="shared" si="21"/>
        <v>0.11700000000000001</v>
      </c>
      <c r="K147" s="132">
        <f t="shared" ref="K147:M147" si="22">SUM(K141:K145)</f>
        <v>3.9325000000000001</v>
      </c>
      <c r="L147" s="117">
        <f t="shared" si="22"/>
        <v>5.1000000000000004E-2</v>
      </c>
      <c r="M147" s="117">
        <f t="shared" si="22"/>
        <v>0.13</v>
      </c>
      <c r="N147" s="117">
        <f>SUM(N141:N146)</f>
        <v>494.27499999999998</v>
      </c>
      <c r="O147" s="117">
        <f>SUM(O141:O145)</f>
        <v>216.7</v>
      </c>
      <c r="P147" s="117">
        <f t="shared" ref="P147:Q147" si="23">SUM(P141:P146)</f>
        <v>81.135000000000005</v>
      </c>
      <c r="Q147" s="117">
        <f t="shared" si="23"/>
        <v>6.9949999999999992</v>
      </c>
      <c r="R147" s="1"/>
      <c r="S147" s="1"/>
    </row>
    <row r="148" spans="1:19" s="354" customFormat="1" ht="15.75" customHeight="1" x14ac:dyDescent="0.25">
      <c r="A148" s="201"/>
      <c r="B148" s="522" t="s">
        <v>30</v>
      </c>
      <c r="C148" s="446"/>
      <c r="D148" s="447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"/>
      <c r="S148" s="1"/>
    </row>
    <row r="149" spans="1:19" s="354" customFormat="1" ht="15.75" customHeight="1" x14ac:dyDescent="0.25">
      <c r="A149" s="106">
        <v>338</v>
      </c>
      <c r="B149" s="439" t="s">
        <v>31</v>
      </c>
      <c r="C149" s="440"/>
      <c r="D149" s="441"/>
      <c r="E149" s="133">
        <v>300</v>
      </c>
      <c r="F149" s="133">
        <v>1.2</v>
      </c>
      <c r="G149" s="134">
        <v>1.2</v>
      </c>
      <c r="H149" s="133">
        <v>29.4</v>
      </c>
      <c r="I149" s="133">
        <v>132</v>
      </c>
      <c r="J149" s="133">
        <v>0</v>
      </c>
      <c r="K149" s="133">
        <v>30</v>
      </c>
      <c r="L149" s="133">
        <v>0</v>
      </c>
      <c r="M149" s="133">
        <v>0</v>
      </c>
      <c r="N149" s="133">
        <v>48</v>
      </c>
      <c r="O149" s="133">
        <v>0</v>
      </c>
      <c r="P149" s="133">
        <v>27</v>
      </c>
      <c r="Q149" s="133">
        <v>6.6</v>
      </c>
      <c r="R149" s="1"/>
      <c r="S149" s="1"/>
    </row>
    <row r="150" spans="1:19" s="354" customFormat="1" ht="15.75" customHeight="1" x14ac:dyDescent="0.25">
      <c r="A150" s="106"/>
      <c r="B150" s="442" t="s">
        <v>112</v>
      </c>
      <c r="C150" s="472"/>
      <c r="D150" s="473"/>
      <c r="E150" s="106">
        <f>E149</f>
        <v>300</v>
      </c>
      <c r="F150" s="106">
        <f t="shared" ref="F150:Q150" si="24">SUM(F149)</f>
        <v>1.2</v>
      </c>
      <c r="G150" s="132">
        <f t="shared" si="24"/>
        <v>1.2</v>
      </c>
      <c r="H150" s="106">
        <f t="shared" si="24"/>
        <v>29.4</v>
      </c>
      <c r="I150" s="106">
        <f t="shared" si="24"/>
        <v>132</v>
      </c>
      <c r="J150" s="106">
        <f t="shared" si="24"/>
        <v>0</v>
      </c>
      <c r="K150" s="106">
        <f t="shared" si="24"/>
        <v>30</v>
      </c>
      <c r="L150" s="106">
        <f t="shared" si="24"/>
        <v>0</v>
      </c>
      <c r="M150" s="106">
        <f t="shared" si="24"/>
        <v>0</v>
      </c>
      <c r="N150" s="106">
        <f t="shared" si="24"/>
        <v>48</v>
      </c>
      <c r="O150" s="106">
        <f t="shared" si="24"/>
        <v>0</v>
      </c>
      <c r="P150" s="106">
        <f t="shared" si="24"/>
        <v>27</v>
      </c>
      <c r="Q150" s="106">
        <f t="shared" si="24"/>
        <v>6.6</v>
      </c>
      <c r="R150" s="1"/>
      <c r="S150" s="1"/>
    </row>
    <row r="151" spans="1:19" s="354" customFormat="1" ht="15.75" customHeight="1" x14ac:dyDescent="0.25">
      <c r="A151" s="201"/>
      <c r="B151" s="522" t="s">
        <v>33</v>
      </c>
      <c r="C151" s="446"/>
      <c r="D151" s="447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"/>
      <c r="S151" s="1"/>
    </row>
    <row r="152" spans="1:19" s="354" customFormat="1" ht="15.75" customHeight="1" x14ac:dyDescent="0.25">
      <c r="A152" s="106">
        <v>67</v>
      </c>
      <c r="B152" s="436" t="s">
        <v>227</v>
      </c>
      <c r="C152" s="440"/>
      <c r="D152" s="441"/>
      <c r="E152" s="99">
        <v>100</v>
      </c>
      <c r="F152" s="117">
        <v>1.4</v>
      </c>
      <c r="G152" s="117">
        <v>10.039999999999999</v>
      </c>
      <c r="H152" s="117">
        <v>7.29</v>
      </c>
      <c r="I152" s="117">
        <v>125.1</v>
      </c>
      <c r="J152" s="117">
        <f>0*E152/100</f>
        <v>0</v>
      </c>
      <c r="K152" s="117">
        <f>10*E152/100</f>
        <v>10</v>
      </c>
      <c r="L152" s="117">
        <f>0*E152/100</f>
        <v>0</v>
      </c>
      <c r="M152" s="117">
        <f>0*E152/100</f>
        <v>0</v>
      </c>
      <c r="N152" s="117">
        <v>31.2</v>
      </c>
      <c r="O152" s="117">
        <f>0*E152/100</f>
        <v>0</v>
      </c>
      <c r="P152" s="117">
        <v>19.5</v>
      </c>
      <c r="Q152" s="117">
        <v>0.82</v>
      </c>
      <c r="R152" s="29"/>
      <c r="S152" s="29"/>
    </row>
    <row r="153" spans="1:19" s="354" customFormat="1" ht="12.75" customHeight="1" x14ac:dyDescent="0.25">
      <c r="A153" s="535">
        <v>82</v>
      </c>
      <c r="B153" s="534" t="s">
        <v>184</v>
      </c>
      <c r="C153" s="476"/>
      <c r="D153" s="477"/>
      <c r="E153" s="135">
        <v>300</v>
      </c>
      <c r="F153" s="512">
        <f>4.85*E153/250</f>
        <v>5.82</v>
      </c>
      <c r="G153" s="512">
        <f>5.32*E153/250</f>
        <v>6.3840000000000003</v>
      </c>
      <c r="H153" s="512">
        <f>5.32*E153/250</f>
        <v>6.3840000000000003</v>
      </c>
      <c r="I153" s="512">
        <f>152.38*E153/250</f>
        <v>182.85599999999999</v>
      </c>
      <c r="J153" s="512">
        <f>0.073*E153/250</f>
        <v>8.7599999999999997E-2</v>
      </c>
      <c r="K153" s="512">
        <f>38.9*E153/250</f>
        <v>46.68</v>
      </c>
      <c r="L153" s="512">
        <v>0</v>
      </c>
      <c r="M153" s="512">
        <v>0</v>
      </c>
      <c r="N153" s="512">
        <f>53.24*E153/250</f>
        <v>63.887999999999998</v>
      </c>
      <c r="O153" s="512">
        <f>70.7*E153/250</f>
        <v>84.84</v>
      </c>
      <c r="P153" s="512">
        <f>38.45*E153/250</f>
        <v>46.14</v>
      </c>
      <c r="Q153" s="512">
        <f>1.59*E153/250</f>
        <v>1.9079999999999999</v>
      </c>
      <c r="R153" s="29"/>
      <c r="S153" s="29"/>
    </row>
    <row r="154" spans="1:19" s="354" customFormat="1" ht="11.25" customHeight="1" x14ac:dyDescent="0.25">
      <c r="A154" s="471"/>
      <c r="B154" s="478"/>
      <c r="C154" s="479"/>
      <c r="D154" s="480"/>
      <c r="E154" s="115">
        <f>E153*4/100</f>
        <v>12</v>
      </c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Q154" s="471"/>
      <c r="R154" s="39"/>
      <c r="S154" s="39"/>
    </row>
    <row r="155" spans="1:19" s="354" customFormat="1" ht="30.75" customHeight="1" x14ac:dyDescent="0.25">
      <c r="A155" s="102">
        <v>230</v>
      </c>
      <c r="B155" s="482" t="s">
        <v>185</v>
      </c>
      <c r="C155" s="440"/>
      <c r="D155" s="441"/>
      <c r="E155" s="115">
        <v>120</v>
      </c>
      <c r="F155" s="136">
        <f>15.28*E155/110</f>
        <v>16.669090909090908</v>
      </c>
      <c r="G155" s="136">
        <f>14.85*E155/110</f>
        <v>16.2</v>
      </c>
      <c r="H155" s="136">
        <f>4.4*E155/110</f>
        <v>4.8</v>
      </c>
      <c r="I155" s="136">
        <f>212*E155/110</f>
        <v>231.27272727272728</v>
      </c>
      <c r="J155" s="136">
        <v>0</v>
      </c>
      <c r="K155" s="136">
        <f>1.56*E155/110</f>
        <v>1.7018181818181819</v>
      </c>
      <c r="L155" s="136">
        <v>0</v>
      </c>
      <c r="M155" s="136">
        <v>0</v>
      </c>
      <c r="N155" s="136">
        <f>42.92*E155/110</f>
        <v>46.821818181818188</v>
      </c>
      <c r="O155" s="136">
        <v>0</v>
      </c>
      <c r="P155" s="136">
        <f>42.6*E155/110</f>
        <v>46.472727272727276</v>
      </c>
      <c r="Q155" s="136">
        <f>0.84*E155/110</f>
        <v>0.91636363636363638</v>
      </c>
      <c r="R155" s="39"/>
      <c r="S155" s="39"/>
    </row>
    <row r="156" spans="1:19" s="354" customFormat="1" ht="15.75" customHeight="1" x14ac:dyDescent="0.25">
      <c r="A156" s="126">
        <v>312</v>
      </c>
      <c r="B156" s="439" t="s">
        <v>64</v>
      </c>
      <c r="C156" s="440"/>
      <c r="D156" s="441"/>
      <c r="E156" s="137">
        <v>220</v>
      </c>
      <c r="F156" s="117">
        <f>4.16*E156/200</f>
        <v>4.5760000000000005</v>
      </c>
      <c r="G156" s="117">
        <f>6.8*E156/200</f>
        <v>7.48</v>
      </c>
      <c r="H156" s="117">
        <f>24.76*E156/200</f>
        <v>27.236000000000004</v>
      </c>
      <c r="I156" s="117">
        <f>176.88*E156/200</f>
        <v>194.56799999999998</v>
      </c>
      <c r="J156" s="117">
        <f>0*E156/200</f>
        <v>0</v>
      </c>
      <c r="K156" s="117">
        <f>23.7*E156/200</f>
        <v>26.07</v>
      </c>
      <c r="L156" s="117">
        <f>0*E156/200</f>
        <v>0</v>
      </c>
      <c r="M156" s="117">
        <f>0*E156/200</f>
        <v>0</v>
      </c>
      <c r="N156" s="117">
        <f>49.54*E156/200</f>
        <v>54.494</v>
      </c>
      <c r="O156" s="117">
        <f>0*E156/200</f>
        <v>0</v>
      </c>
      <c r="P156" s="117">
        <f>31.32*E156/200</f>
        <v>34.451999999999998</v>
      </c>
      <c r="Q156" s="117">
        <f>1.09*E156/200</f>
        <v>1.1990000000000001</v>
      </c>
      <c r="R156" s="29"/>
      <c r="S156" s="29"/>
    </row>
    <row r="157" spans="1:19" s="354" customFormat="1" ht="15.75" customHeight="1" x14ac:dyDescent="0.25">
      <c r="A157" s="106">
        <v>342</v>
      </c>
      <c r="B157" s="439" t="s">
        <v>38</v>
      </c>
      <c r="C157" s="440"/>
      <c r="D157" s="441"/>
      <c r="E157" s="99">
        <v>200</v>
      </c>
      <c r="F157" s="117">
        <v>0.08</v>
      </c>
      <c r="G157" s="117">
        <v>0</v>
      </c>
      <c r="H157" s="117">
        <v>21.82</v>
      </c>
      <c r="I157" s="117">
        <v>87.6</v>
      </c>
      <c r="J157" s="117">
        <v>0</v>
      </c>
      <c r="K157" s="117">
        <v>2.25</v>
      </c>
      <c r="L157" s="117">
        <v>0</v>
      </c>
      <c r="M157" s="117">
        <v>0</v>
      </c>
      <c r="N157" s="117">
        <v>17</v>
      </c>
      <c r="O157" s="117">
        <v>0</v>
      </c>
      <c r="P157" s="117">
        <v>9</v>
      </c>
      <c r="Q157" s="117">
        <v>2.2000000000000002</v>
      </c>
      <c r="R157" s="29"/>
      <c r="S157" s="29"/>
    </row>
    <row r="158" spans="1:19" s="354" customFormat="1" ht="15.75" customHeight="1" x14ac:dyDescent="0.25">
      <c r="A158" s="106" t="s">
        <v>27</v>
      </c>
      <c r="B158" s="41" t="s">
        <v>39</v>
      </c>
      <c r="C158" s="41"/>
      <c r="D158" s="41"/>
      <c r="E158" s="99">
        <v>120</v>
      </c>
      <c r="F158" s="117">
        <f>4.03*E158/50</f>
        <v>9.6720000000000006</v>
      </c>
      <c r="G158" s="117">
        <f>0.5*E158/50</f>
        <v>1.2</v>
      </c>
      <c r="H158" s="117">
        <f>22.36*E158/50</f>
        <v>53.663999999999994</v>
      </c>
      <c r="I158" s="117">
        <f>98.86*E158/50</f>
        <v>237.26400000000001</v>
      </c>
      <c r="J158" s="117">
        <v>0</v>
      </c>
      <c r="K158" s="117">
        <v>0</v>
      </c>
      <c r="L158" s="117">
        <v>0</v>
      </c>
      <c r="M158" s="117">
        <v>0</v>
      </c>
      <c r="N158" s="117">
        <f>17.59*E158/50</f>
        <v>42.216000000000001</v>
      </c>
      <c r="O158" s="117">
        <v>0</v>
      </c>
      <c r="P158" s="117">
        <f>1.89*E158/50</f>
        <v>4.5359999999999996</v>
      </c>
      <c r="Q158" s="117">
        <f>0.88*E158/50</f>
        <v>2.1120000000000001</v>
      </c>
      <c r="R158" s="17"/>
      <c r="S158" s="17"/>
    </row>
    <row r="159" spans="1:19" s="354" customFormat="1" ht="15.75" customHeight="1" x14ac:dyDescent="0.25">
      <c r="A159" s="106" t="s">
        <v>27</v>
      </c>
      <c r="B159" s="439" t="s">
        <v>28</v>
      </c>
      <c r="C159" s="440"/>
      <c r="D159" s="441"/>
      <c r="E159" s="99">
        <v>45</v>
      </c>
      <c r="F159" s="117">
        <f>2.26*E159/30</f>
        <v>3.3899999999999997</v>
      </c>
      <c r="G159" s="117">
        <f>0.23*E159/30</f>
        <v>0.34499999999999997</v>
      </c>
      <c r="H159" s="117">
        <f>14.66*E159/30</f>
        <v>21.990000000000002</v>
      </c>
      <c r="I159" s="117">
        <f>68.86*E159/30</f>
        <v>103.28999999999999</v>
      </c>
      <c r="J159" s="117">
        <v>0</v>
      </c>
      <c r="K159" s="117">
        <v>0</v>
      </c>
      <c r="L159" s="117">
        <v>0</v>
      </c>
      <c r="M159" s="117">
        <v>0</v>
      </c>
      <c r="N159" s="117">
        <f>12.97*E159/30</f>
        <v>19.454999999999998</v>
      </c>
      <c r="O159" s="117">
        <v>0</v>
      </c>
      <c r="P159" s="117">
        <f>2.83*E159/30</f>
        <v>4.2450000000000001</v>
      </c>
      <c r="Q159" s="117">
        <f>0.74*E159/30</f>
        <v>1.1099999999999999</v>
      </c>
      <c r="R159" s="17"/>
      <c r="S159" s="17"/>
    </row>
    <row r="160" spans="1:19" s="354" customFormat="1" ht="18" customHeight="1" x14ac:dyDescent="0.25">
      <c r="A160" s="106"/>
      <c r="B160" s="442" t="s">
        <v>65</v>
      </c>
      <c r="C160" s="443"/>
      <c r="D160" s="444"/>
      <c r="E160" s="99">
        <f t="shared" ref="E160:Q160" si="25">SUM(E152:E159)</f>
        <v>1117</v>
      </c>
      <c r="F160" s="117">
        <f t="shared" si="25"/>
        <v>41.607090909090914</v>
      </c>
      <c r="G160" s="117">
        <f t="shared" si="25"/>
        <v>41.649000000000001</v>
      </c>
      <c r="H160" s="117">
        <f t="shared" si="25"/>
        <v>143.184</v>
      </c>
      <c r="I160" s="117">
        <f t="shared" si="25"/>
        <v>1161.9507272727274</v>
      </c>
      <c r="J160" s="117">
        <f t="shared" si="25"/>
        <v>8.7599999999999997E-2</v>
      </c>
      <c r="K160" s="117">
        <f t="shared" si="25"/>
        <v>86.701818181818183</v>
      </c>
      <c r="L160" s="117">
        <f t="shared" si="25"/>
        <v>0</v>
      </c>
      <c r="M160" s="117">
        <f t="shared" si="25"/>
        <v>0</v>
      </c>
      <c r="N160" s="117">
        <f t="shared" si="25"/>
        <v>275.07481818181822</v>
      </c>
      <c r="O160" s="117">
        <f t="shared" si="25"/>
        <v>84.84</v>
      </c>
      <c r="P160" s="117">
        <f t="shared" si="25"/>
        <v>164.34572727272729</v>
      </c>
      <c r="Q160" s="117">
        <f t="shared" si="25"/>
        <v>10.265363636363636</v>
      </c>
      <c r="R160" s="29"/>
      <c r="S160" s="29"/>
    </row>
    <row r="161" spans="1:19" s="354" customFormat="1" ht="18" customHeight="1" x14ac:dyDescent="0.25">
      <c r="A161" s="201"/>
      <c r="B161" s="536" t="s">
        <v>41</v>
      </c>
      <c r="C161" s="446"/>
      <c r="D161" s="447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"/>
      <c r="S161" s="1"/>
    </row>
    <row r="162" spans="1:19" s="354" customFormat="1" ht="18" customHeight="1" x14ac:dyDescent="0.25">
      <c r="A162" s="115">
        <v>410</v>
      </c>
      <c r="B162" s="439" t="s">
        <v>218</v>
      </c>
      <c r="C162" s="440"/>
      <c r="D162" s="441"/>
      <c r="E162" s="94">
        <v>100</v>
      </c>
      <c r="F162" s="139">
        <f>5.03*E162/100</f>
        <v>5.03</v>
      </c>
      <c r="G162" s="139">
        <f>10.14*E162/100</f>
        <v>10.14</v>
      </c>
      <c r="H162" s="139">
        <f>33.73*E162/100</f>
        <v>33.729999999999997</v>
      </c>
      <c r="I162" s="139">
        <f>246.33*E162/100</f>
        <v>246.33</v>
      </c>
      <c r="J162" s="129">
        <v>0</v>
      </c>
      <c r="K162" s="129">
        <f>0.11*E162/100</f>
        <v>0.11</v>
      </c>
      <c r="L162" s="129">
        <v>0</v>
      </c>
      <c r="M162" s="129">
        <v>0</v>
      </c>
      <c r="N162" s="129">
        <f>72.29*E162/100</f>
        <v>72.290000000000006</v>
      </c>
      <c r="O162" s="129">
        <v>0</v>
      </c>
      <c r="P162" s="129">
        <f>30.86*E162/100</f>
        <v>30.86</v>
      </c>
      <c r="Q162" s="129">
        <f>1.29*E162/100</f>
        <v>1.29</v>
      </c>
      <c r="R162" s="29"/>
      <c r="S162" s="29"/>
    </row>
    <row r="163" spans="1:19" s="354" customFormat="1" ht="15.75" customHeight="1" x14ac:dyDescent="0.25">
      <c r="A163" s="106">
        <v>379</v>
      </c>
      <c r="B163" s="439" t="s">
        <v>26</v>
      </c>
      <c r="C163" s="440"/>
      <c r="D163" s="441"/>
      <c r="E163" s="115">
        <v>200</v>
      </c>
      <c r="F163" s="115">
        <v>3.58</v>
      </c>
      <c r="G163" s="115">
        <v>2.68</v>
      </c>
      <c r="H163" s="115">
        <v>28.34</v>
      </c>
      <c r="I163" s="115">
        <v>151.80000000000001</v>
      </c>
      <c r="J163" s="115">
        <v>0.02</v>
      </c>
      <c r="K163" s="115">
        <v>0.04</v>
      </c>
      <c r="L163" s="115">
        <v>0.1</v>
      </c>
      <c r="M163" s="115">
        <v>1.3</v>
      </c>
      <c r="N163" s="115">
        <v>125.78</v>
      </c>
      <c r="O163" s="115">
        <v>0</v>
      </c>
      <c r="P163" s="115">
        <v>14</v>
      </c>
      <c r="Q163" s="115">
        <v>0.13</v>
      </c>
      <c r="R163" s="29"/>
      <c r="S163" s="29"/>
    </row>
    <row r="164" spans="1:19" s="354" customFormat="1" ht="15.75" customHeight="1" x14ac:dyDescent="0.25">
      <c r="A164" s="106"/>
      <c r="B164" s="442" t="s">
        <v>86</v>
      </c>
      <c r="C164" s="472"/>
      <c r="D164" s="473"/>
      <c r="E164" s="106">
        <f>SUM(E162:E163)</f>
        <v>300</v>
      </c>
      <c r="F164" s="106">
        <f t="shared" ref="F164:Q164" si="26">F162+F163</f>
        <v>8.61</v>
      </c>
      <c r="G164" s="106">
        <f t="shared" si="26"/>
        <v>12.82</v>
      </c>
      <c r="H164" s="106">
        <f t="shared" si="26"/>
        <v>62.069999999999993</v>
      </c>
      <c r="I164" s="106">
        <f t="shared" si="26"/>
        <v>398.13</v>
      </c>
      <c r="J164" s="106">
        <f t="shared" si="26"/>
        <v>0.02</v>
      </c>
      <c r="K164" s="132">
        <f t="shared" si="26"/>
        <v>0.15</v>
      </c>
      <c r="L164" s="106">
        <f t="shared" si="26"/>
        <v>0.1</v>
      </c>
      <c r="M164" s="106">
        <f t="shared" si="26"/>
        <v>1.3</v>
      </c>
      <c r="N164" s="106">
        <f t="shared" si="26"/>
        <v>198.07</v>
      </c>
      <c r="O164" s="106">
        <f t="shared" si="26"/>
        <v>0</v>
      </c>
      <c r="P164" s="106">
        <f t="shared" si="26"/>
        <v>44.86</v>
      </c>
      <c r="Q164" s="106">
        <f t="shared" si="26"/>
        <v>1.42</v>
      </c>
      <c r="R164" s="17"/>
      <c r="S164" s="17"/>
    </row>
    <row r="165" spans="1:19" s="354" customFormat="1" ht="15.75" customHeight="1" x14ac:dyDescent="0.25">
      <c r="A165" s="106"/>
      <c r="B165" s="538" t="s">
        <v>44</v>
      </c>
      <c r="C165" s="446"/>
      <c r="D165" s="447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29"/>
      <c r="S165" s="29"/>
    </row>
    <row r="166" spans="1:19" s="354" customFormat="1" ht="13.5" customHeight="1" x14ac:dyDescent="0.25">
      <c r="A166" s="106">
        <v>75</v>
      </c>
      <c r="B166" s="439" t="s">
        <v>186</v>
      </c>
      <c r="C166" s="440"/>
      <c r="D166" s="441"/>
      <c r="E166" s="138">
        <v>100</v>
      </c>
      <c r="F166" s="139">
        <f>2.3*E166/100</f>
        <v>2.2999999999999998</v>
      </c>
      <c r="G166" s="139">
        <f>6.8*E166/100</f>
        <v>6.8</v>
      </c>
      <c r="H166" s="139">
        <f>15.4*E166/100</f>
        <v>15.4</v>
      </c>
      <c r="I166" s="139">
        <f>132*E166/100</f>
        <v>132</v>
      </c>
      <c r="J166" s="129">
        <v>0</v>
      </c>
      <c r="K166" s="129">
        <f>6.72*E166/100</f>
        <v>6.72</v>
      </c>
      <c r="L166" s="129">
        <v>0</v>
      </c>
      <c r="M166" s="139">
        <v>0</v>
      </c>
      <c r="N166" s="139">
        <f>38.2*E166/100</f>
        <v>38.200000000000003</v>
      </c>
      <c r="O166" s="139">
        <v>0</v>
      </c>
      <c r="P166" s="129">
        <f>29.6*E166/100</f>
        <v>29.6</v>
      </c>
      <c r="Q166" s="139">
        <f>17.69*E166/100</f>
        <v>17.690000000000001</v>
      </c>
      <c r="R166" s="29"/>
      <c r="S166" s="29"/>
    </row>
    <row r="167" spans="1:19" s="354" customFormat="1" ht="15.75" customHeight="1" x14ac:dyDescent="0.25">
      <c r="A167" s="470">
        <v>256</v>
      </c>
      <c r="B167" s="539" t="s">
        <v>187</v>
      </c>
      <c r="C167" s="476"/>
      <c r="D167" s="477"/>
      <c r="E167" s="140">
        <v>100</v>
      </c>
      <c r="F167" s="537">
        <v>33</v>
      </c>
      <c r="G167" s="537">
        <v>13.4</v>
      </c>
      <c r="H167" s="537">
        <v>6.2</v>
      </c>
      <c r="I167" s="537">
        <v>277.39999999999998</v>
      </c>
      <c r="J167" s="537">
        <v>0</v>
      </c>
      <c r="K167" s="537">
        <v>0.54</v>
      </c>
      <c r="L167" s="537">
        <v>0</v>
      </c>
      <c r="M167" s="537">
        <v>0</v>
      </c>
      <c r="N167" s="537">
        <v>42.45</v>
      </c>
      <c r="O167" s="537">
        <v>0</v>
      </c>
      <c r="P167" s="537">
        <v>46.12</v>
      </c>
      <c r="Q167" s="537">
        <v>4.8899999999999997</v>
      </c>
      <c r="R167" s="17"/>
      <c r="S167" s="17"/>
    </row>
    <row r="168" spans="1:19" s="354" customFormat="1" ht="15.75" customHeight="1" x14ac:dyDescent="0.25">
      <c r="A168" s="471"/>
      <c r="B168" s="478"/>
      <c r="C168" s="479"/>
      <c r="D168" s="480"/>
      <c r="E168" s="141">
        <v>100</v>
      </c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Q168" s="471"/>
      <c r="R168" s="17"/>
      <c r="S168" s="17"/>
    </row>
    <row r="169" spans="1:19" s="354" customFormat="1" ht="15.75" customHeight="1" x14ac:dyDescent="0.25">
      <c r="A169" s="115">
        <v>309</v>
      </c>
      <c r="B169" s="448" t="s">
        <v>161</v>
      </c>
      <c r="C169" s="440"/>
      <c r="D169" s="441"/>
      <c r="E169" s="128">
        <v>200</v>
      </c>
      <c r="F169" s="129">
        <v>7.14</v>
      </c>
      <c r="G169" s="129">
        <v>6.46</v>
      </c>
      <c r="H169" s="129">
        <v>38.1</v>
      </c>
      <c r="I169" s="142">
        <v>239.1</v>
      </c>
      <c r="J169" s="139">
        <v>0</v>
      </c>
      <c r="K169" s="139">
        <v>0</v>
      </c>
      <c r="L169" s="139">
        <v>0</v>
      </c>
      <c r="M169" s="139" t="s">
        <v>35</v>
      </c>
      <c r="N169" s="139">
        <v>16</v>
      </c>
      <c r="O169" s="139">
        <v>0</v>
      </c>
      <c r="P169" s="139">
        <v>24</v>
      </c>
      <c r="Q169" s="139">
        <v>2.1</v>
      </c>
      <c r="R169" s="25"/>
      <c r="S169" s="25"/>
    </row>
    <row r="170" spans="1:19" s="354" customFormat="1" ht="15.75" customHeight="1" x14ac:dyDescent="0.25">
      <c r="A170" s="106">
        <v>389</v>
      </c>
      <c r="B170" s="540" t="s">
        <v>188</v>
      </c>
      <c r="C170" s="440"/>
      <c r="D170" s="441"/>
      <c r="E170" s="100">
        <v>200</v>
      </c>
      <c r="F170" s="117">
        <v>1</v>
      </c>
      <c r="G170" s="117">
        <v>0</v>
      </c>
      <c r="H170" s="117">
        <v>20.2</v>
      </c>
      <c r="I170" s="117">
        <v>84.8</v>
      </c>
      <c r="J170" s="117">
        <v>0</v>
      </c>
      <c r="K170" s="117">
        <v>4</v>
      </c>
      <c r="L170" s="117">
        <v>0</v>
      </c>
      <c r="M170" s="117">
        <v>0</v>
      </c>
      <c r="N170" s="117">
        <v>14</v>
      </c>
      <c r="O170" s="117">
        <v>0</v>
      </c>
      <c r="P170" s="117">
        <v>8</v>
      </c>
      <c r="Q170" s="117">
        <v>2.8</v>
      </c>
      <c r="R170" s="29"/>
      <c r="S170" s="29"/>
    </row>
    <row r="171" spans="1:19" s="354" customFormat="1" ht="15.75" customHeight="1" x14ac:dyDescent="0.25">
      <c r="A171" s="106" t="s">
        <v>27</v>
      </c>
      <c r="B171" s="41" t="s">
        <v>39</v>
      </c>
      <c r="C171" s="41"/>
      <c r="D171" s="41"/>
      <c r="E171" s="99">
        <v>75</v>
      </c>
      <c r="F171" s="117">
        <f>4.03*E171/50</f>
        <v>6.0449999999999999</v>
      </c>
      <c r="G171" s="117">
        <f>0.5*E171/50</f>
        <v>0.75</v>
      </c>
      <c r="H171" s="117">
        <f>22.36*E171/50</f>
        <v>33.54</v>
      </c>
      <c r="I171" s="117">
        <f>98.86*E171/50</f>
        <v>148.29</v>
      </c>
      <c r="J171" s="117">
        <v>0</v>
      </c>
      <c r="K171" s="117">
        <v>0</v>
      </c>
      <c r="L171" s="117">
        <v>0</v>
      </c>
      <c r="M171" s="117">
        <v>0</v>
      </c>
      <c r="N171" s="117">
        <f>17.59*E171/50</f>
        <v>26.385000000000002</v>
      </c>
      <c r="O171" s="117">
        <v>0</v>
      </c>
      <c r="P171" s="117">
        <f>1.89*E171/50</f>
        <v>2.835</v>
      </c>
      <c r="Q171" s="117">
        <f>0.88*E171/50</f>
        <v>1.32</v>
      </c>
      <c r="R171" s="17"/>
      <c r="S171" s="17"/>
    </row>
    <row r="172" spans="1:19" s="354" customFormat="1" ht="15.75" customHeight="1" x14ac:dyDescent="0.25">
      <c r="A172" s="106" t="s">
        <v>27</v>
      </c>
      <c r="B172" s="439" t="s">
        <v>28</v>
      </c>
      <c r="C172" s="440"/>
      <c r="D172" s="441"/>
      <c r="E172" s="99">
        <v>45</v>
      </c>
      <c r="F172" s="117">
        <f>2.26*E172/30</f>
        <v>3.3899999999999997</v>
      </c>
      <c r="G172" s="117">
        <f>0.23*E172/30</f>
        <v>0.34499999999999997</v>
      </c>
      <c r="H172" s="117">
        <f>14.66*E172/30</f>
        <v>21.990000000000002</v>
      </c>
      <c r="I172" s="117">
        <f>68.86*E172/30</f>
        <v>103.28999999999999</v>
      </c>
      <c r="J172" s="117">
        <v>0</v>
      </c>
      <c r="K172" s="117">
        <v>0</v>
      </c>
      <c r="L172" s="117">
        <v>0</v>
      </c>
      <c r="M172" s="117">
        <v>0</v>
      </c>
      <c r="N172" s="117">
        <f>12.97*E172/30</f>
        <v>19.454999999999998</v>
      </c>
      <c r="O172" s="117">
        <v>0</v>
      </c>
      <c r="P172" s="117">
        <f>2.83*E172/30</f>
        <v>4.2450000000000001</v>
      </c>
      <c r="Q172" s="117">
        <f>0.74*E172/30</f>
        <v>1.1099999999999999</v>
      </c>
      <c r="R172" s="17"/>
      <c r="S172" s="17"/>
    </row>
    <row r="173" spans="1:19" s="354" customFormat="1" ht="15.75" customHeight="1" x14ac:dyDescent="0.25">
      <c r="A173" s="106"/>
      <c r="B173" s="442" t="s">
        <v>72</v>
      </c>
      <c r="C173" s="443"/>
      <c r="D173" s="444"/>
      <c r="E173" s="99">
        <f t="shared" ref="E173:Q173" si="27">SUM(E166:E172)</f>
        <v>820</v>
      </c>
      <c r="F173" s="117">
        <f t="shared" si="27"/>
        <v>52.875</v>
      </c>
      <c r="G173" s="117">
        <f t="shared" si="27"/>
        <v>27.754999999999999</v>
      </c>
      <c r="H173" s="117">
        <f t="shared" si="27"/>
        <v>135.43</v>
      </c>
      <c r="I173" s="117">
        <f t="shared" si="27"/>
        <v>984.87999999999988</v>
      </c>
      <c r="J173" s="117">
        <f t="shared" si="27"/>
        <v>0</v>
      </c>
      <c r="K173" s="117">
        <f t="shared" si="27"/>
        <v>11.26</v>
      </c>
      <c r="L173" s="117">
        <f t="shared" si="27"/>
        <v>0</v>
      </c>
      <c r="M173" s="117">
        <f t="shared" si="27"/>
        <v>0</v>
      </c>
      <c r="N173" s="117">
        <f t="shared" si="27"/>
        <v>156.49</v>
      </c>
      <c r="O173" s="117">
        <f t="shared" si="27"/>
        <v>0</v>
      </c>
      <c r="P173" s="117">
        <f t="shared" si="27"/>
        <v>114.8</v>
      </c>
      <c r="Q173" s="117">
        <f t="shared" si="27"/>
        <v>29.910000000000004</v>
      </c>
      <c r="R173" s="29"/>
      <c r="S173" s="29"/>
    </row>
    <row r="174" spans="1:19" s="354" customFormat="1" ht="16.5" customHeight="1" x14ac:dyDescent="0.25">
      <c r="A174" s="106"/>
      <c r="B174" s="538" t="s">
        <v>149</v>
      </c>
      <c r="C174" s="446"/>
      <c r="D174" s="447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29"/>
      <c r="S174" s="29"/>
    </row>
    <row r="175" spans="1:19" s="354" customFormat="1" ht="16.5" customHeight="1" x14ac:dyDescent="0.25">
      <c r="A175" s="106" t="s">
        <v>27</v>
      </c>
      <c r="B175" s="436" t="s">
        <v>221</v>
      </c>
      <c r="C175" s="440"/>
      <c r="D175" s="441"/>
      <c r="E175" s="102">
        <v>30</v>
      </c>
      <c r="F175" s="102">
        <v>1.25</v>
      </c>
      <c r="G175" s="102">
        <v>1.48</v>
      </c>
      <c r="H175" s="102">
        <v>34.89</v>
      </c>
      <c r="I175" s="102">
        <v>160.75</v>
      </c>
      <c r="J175" s="102">
        <v>0</v>
      </c>
      <c r="K175" s="102">
        <v>0.1</v>
      </c>
      <c r="L175" s="102">
        <v>0</v>
      </c>
      <c r="M175" s="102">
        <v>0</v>
      </c>
      <c r="N175" s="102">
        <v>6.8</v>
      </c>
      <c r="O175" s="102">
        <v>0</v>
      </c>
      <c r="P175" s="102">
        <v>4.53</v>
      </c>
      <c r="Q175" s="102">
        <v>0.9</v>
      </c>
      <c r="R175" s="29"/>
      <c r="S175" s="29"/>
    </row>
    <row r="176" spans="1:19" s="354" customFormat="1" ht="16.5" customHeight="1" x14ac:dyDescent="0.25">
      <c r="A176" s="143">
        <v>386</v>
      </c>
      <c r="B176" s="541" t="s">
        <v>120</v>
      </c>
      <c r="C176" s="440"/>
      <c r="D176" s="441"/>
      <c r="E176" s="143">
        <v>200</v>
      </c>
      <c r="F176" s="143">
        <v>5.6</v>
      </c>
      <c r="G176" s="143">
        <v>5</v>
      </c>
      <c r="H176" s="143">
        <v>8.1999999999999993</v>
      </c>
      <c r="I176" s="143">
        <v>100.2</v>
      </c>
      <c r="J176" s="143">
        <v>0</v>
      </c>
      <c r="K176" s="143">
        <v>1.4</v>
      </c>
      <c r="L176" s="143">
        <v>0</v>
      </c>
      <c r="M176" s="143">
        <v>0</v>
      </c>
      <c r="N176" s="143">
        <v>240</v>
      </c>
      <c r="O176" s="143">
        <v>0</v>
      </c>
      <c r="P176" s="143">
        <v>28</v>
      </c>
      <c r="Q176" s="143">
        <v>0.2</v>
      </c>
      <c r="R176" s="73"/>
      <c r="S176" s="73"/>
    </row>
    <row r="177" spans="1:19" s="354" customFormat="1" ht="15.75" customHeight="1" x14ac:dyDescent="0.25">
      <c r="A177" s="106"/>
      <c r="B177" s="442" t="s">
        <v>169</v>
      </c>
      <c r="C177" s="472"/>
      <c r="D177" s="473"/>
      <c r="E177" s="26">
        <f>SUM(E175:E176)</f>
        <v>230</v>
      </c>
      <c r="F177" s="26">
        <f t="shared" ref="F177:N177" si="28">F175+F176</f>
        <v>6.85</v>
      </c>
      <c r="G177" s="26">
        <f t="shared" si="28"/>
        <v>6.48</v>
      </c>
      <c r="H177" s="26">
        <f t="shared" si="28"/>
        <v>43.09</v>
      </c>
      <c r="I177" s="26">
        <f t="shared" si="28"/>
        <v>260.95</v>
      </c>
      <c r="J177" s="26">
        <f t="shared" si="28"/>
        <v>0</v>
      </c>
      <c r="K177" s="26">
        <f t="shared" si="28"/>
        <v>1.5</v>
      </c>
      <c r="L177" s="26">
        <f t="shared" si="28"/>
        <v>0</v>
      </c>
      <c r="M177" s="26">
        <f t="shared" si="28"/>
        <v>0</v>
      </c>
      <c r="N177" s="26">
        <f t="shared" si="28"/>
        <v>246.8</v>
      </c>
      <c r="O177" s="26">
        <f>SUM(O175:O176)</f>
        <v>0</v>
      </c>
      <c r="P177" s="26">
        <f>SUM(P175:P176)</f>
        <v>32.53</v>
      </c>
      <c r="Q177" s="26">
        <f>SUM(Q175:Q176)</f>
        <v>1.1000000000000001</v>
      </c>
      <c r="R177" s="17"/>
      <c r="S177" s="17"/>
    </row>
    <row r="178" spans="1:19" s="354" customFormat="1" ht="15.75" customHeight="1" x14ac:dyDescent="0.25">
      <c r="A178" s="109"/>
      <c r="B178" s="436" t="s">
        <v>53</v>
      </c>
      <c r="C178" s="437"/>
      <c r="D178" s="438"/>
      <c r="E178" s="91">
        <v>8</v>
      </c>
      <c r="F178" s="144"/>
      <c r="G178" s="144"/>
      <c r="H178" s="144"/>
      <c r="I178" s="144"/>
      <c r="J178" s="144"/>
      <c r="K178" s="144"/>
      <c r="L178" s="144"/>
      <c r="M178" s="144"/>
      <c r="N178" s="144">
        <v>29.44</v>
      </c>
      <c r="O178" s="144"/>
      <c r="P178" s="144">
        <v>1.76</v>
      </c>
      <c r="Q178" s="144">
        <v>0.23</v>
      </c>
      <c r="R178" s="221"/>
      <c r="S178" s="221"/>
    </row>
    <row r="179" spans="1:19" s="354" customFormat="1" ht="15.75" customHeight="1" x14ac:dyDescent="0.25">
      <c r="A179" s="106"/>
      <c r="B179" s="442" t="s">
        <v>106</v>
      </c>
      <c r="C179" s="472"/>
      <c r="D179" s="473"/>
      <c r="E179" s="27">
        <f>SUM(E147,E150,E160,E164,E173,E177)</f>
        <v>3293.875</v>
      </c>
      <c r="F179" s="22">
        <f>SUM(F147,F150,F160,F164,F173, F177)</f>
        <v>145.76709090909091</v>
      </c>
      <c r="G179" s="22">
        <f t="shared" ref="G179:M179" si="29">SUM(G147,G150,G160,G164,G173,G177)</f>
        <v>139.19274999999999</v>
      </c>
      <c r="H179" s="22">
        <f t="shared" si="29"/>
        <v>492.49024999999995</v>
      </c>
      <c r="I179" s="22">
        <f t="shared" si="29"/>
        <v>3836.1794772727271</v>
      </c>
      <c r="J179" s="22">
        <f t="shared" si="29"/>
        <v>0.22459999999999999</v>
      </c>
      <c r="K179" s="22">
        <f t="shared" si="29"/>
        <v>133.54431818181817</v>
      </c>
      <c r="L179" s="22">
        <f t="shared" si="29"/>
        <v>0.15100000000000002</v>
      </c>
      <c r="M179" s="22">
        <f t="shared" si="29"/>
        <v>1.4300000000000002</v>
      </c>
      <c r="N179" s="22">
        <f>SUM(N147,N150,N160,N164,N173,N177,N178)</f>
        <v>1448.1498181818181</v>
      </c>
      <c r="O179" s="22">
        <f>SUM(O147,O150,O160,O164,O173,O177)</f>
        <v>301.53999999999996</v>
      </c>
      <c r="P179" s="22">
        <f>SUM(P147,P150,P160,P164,P173,P177)</f>
        <v>464.67072727272728</v>
      </c>
      <c r="Q179" s="22">
        <f>SUM(Q147,Q150,Q160,Q164,Q173,Q177)</f>
        <v>56.290363636363644</v>
      </c>
      <c r="R179" s="29"/>
      <c r="S179" s="29"/>
    </row>
    <row r="180" spans="1:19" s="354" customFormat="1" ht="15.75" customHeight="1" x14ac:dyDescent="0.25">
      <c r="A180" s="355"/>
      <c r="B180" s="43"/>
      <c r="C180" s="43"/>
      <c r="D180" s="43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1"/>
      <c r="S180" s="1"/>
    </row>
    <row r="181" spans="1:19" s="354" customFormat="1" ht="12" customHeight="1" x14ac:dyDescent="0.25">
      <c r="A181" s="523" t="s">
        <v>107</v>
      </c>
      <c r="B181" s="524"/>
      <c r="C181" s="524"/>
      <c r="D181" s="524"/>
      <c r="E181" s="524"/>
      <c r="F181" s="524"/>
      <c r="G181" s="524"/>
      <c r="H181" s="524"/>
      <c r="I181" s="524"/>
      <c r="J181" s="524"/>
      <c r="K181" s="524"/>
      <c r="L181" s="524"/>
      <c r="M181" s="524"/>
      <c r="N181" s="524"/>
      <c r="O181" s="524"/>
      <c r="P181" s="524"/>
      <c r="Q181" s="524"/>
      <c r="R181" s="525"/>
      <c r="S181" s="1"/>
    </row>
    <row r="182" spans="1:19" s="354" customFormat="1" ht="31.5" customHeight="1" x14ac:dyDescent="0.25">
      <c r="A182" s="526" t="s">
        <v>3</v>
      </c>
      <c r="B182" s="766" t="s">
        <v>4</v>
      </c>
      <c r="C182" s="767"/>
      <c r="D182" s="768"/>
      <c r="E182" s="68" t="s">
        <v>5</v>
      </c>
      <c r="F182" s="530" t="s">
        <v>6</v>
      </c>
      <c r="G182" s="440"/>
      <c r="H182" s="441"/>
      <c r="I182" s="529" t="s">
        <v>7</v>
      </c>
      <c r="J182" s="530" t="s">
        <v>8</v>
      </c>
      <c r="K182" s="440"/>
      <c r="L182" s="440"/>
      <c r="M182" s="441"/>
      <c r="N182" s="530" t="s">
        <v>9</v>
      </c>
      <c r="O182" s="440"/>
      <c r="P182" s="440"/>
      <c r="Q182" s="441"/>
      <c r="R182" s="1"/>
      <c r="S182" s="1"/>
    </row>
    <row r="183" spans="1:19" s="354" customFormat="1" ht="15.75" customHeight="1" x14ac:dyDescent="0.25">
      <c r="A183" s="527"/>
      <c r="B183" s="769"/>
      <c r="C183" s="770"/>
      <c r="D183" s="771"/>
      <c r="E183" s="69"/>
      <c r="F183" s="33" t="s">
        <v>10</v>
      </c>
      <c r="G183" s="33" t="s">
        <v>11</v>
      </c>
      <c r="H183" s="33" t="s">
        <v>12</v>
      </c>
      <c r="I183" s="527"/>
      <c r="J183" s="34" t="s">
        <v>13</v>
      </c>
      <c r="K183" s="34" t="s">
        <v>14</v>
      </c>
      <c r="L183" s="34" t="s">
        <v>15</v>
      </c>
      <c r="M183" s="345" t="s">
        <v>16</v>
      </c>
      <c r="N183" s="36" t="s">
        <v>17</v>
      </c>
      <c r="O183" s="34" t="s">
        <v>18</v>
      </c>
      <c r="P183" s="34" t="s">
        <v>19</v>
      </c>
      <c r="Q183" s="345" t="s">
        <v>20</v>
      </c>
      <c r="R183" s="1"/>
      <c r="S183" s="1"/>
    </row>
    <row r="184" spans="1:19" s="354" customFormat="1" ht="15.75" customHeight="1" x14ac:dyDescent="0.25">
      <c r="A184" s="9">
        <v>1</v>
      </c>
      <c r="B184" s="532">
        <v>2</v>
      </c>
      <c r="C184" s="440"/>
      <c r="D184" s="441"/>
      <c r="E184" s="57">
        <v>3</v>
      </c>
      <c r="F184" s="57">
        <v>4</v>
      </c>
      <c r="G184" s="57">
        <v>5</v>
      </c>
      <c r="H184" s="57">
        <v>6</v>
      </c>
      <c r="I184" s="58">
        <v>7</v>
      </c>
      <c r="J184" s="57">
        <v>8</v>
      </c>
      <c r="K184" s="57">
        <v>9</v>
      </c>
      <c r="L184" s="57">
        <v>10</v>
      </c>
      <c r="M184" s="59">
        <v>11</v>
      </c>
      <c r="N184" s="57">
        <v>12</v>
      </c>
      <c r="O184" s="57">
        <v>13</v>
      </c>
      <c r="P184" s="57">
        <v>14</v>
      </c>
      <c r="Q184" s="60">
        <v>15</v>
      </c>
      <c r="R184" s="1"/>
      <c r="S184" s="1"/>
    </row>
    <row r="185" spans="1:19" s="354" customFormat="1" ht="15.75" customHeight="1" x14ac:dyDescent="0.25">
      <c r="A185" s="201"/>
      <c r="B185" s="522" t="s">
        <v>21</v>
      </c>
      <c r="C185" s="446"/>
      <c r="D185" s="447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"/>
      <c r="S185" s="1"/>
    </row>
    <row r="186" spans="1:19" s="354" customFormat="1" ht="15.75" customHeight="1" x14ac:dyDescent="0.25">
      <c r="A186" s="106">
        <v>2</v>
      </c>
      <c r="B186" s="439" t="s">
        <v>108</v>
      </c>
      <c r="C186" s="440"/>
      <c r="D186" s="441"/>
      <c r="E186" s="147" t="s">
        <v>109</v>
      </c>
      <c r="F186" s="117">
        <v>8.3333333333333329E-2</v>
      </c>
      <c r="G186" s="117">
        <v>7.1499999999999995</v>
      </c>
      <c r="H186" s="117">
        <v>0.11666666666666668</v>
      </c>
      <c r="I186" s="117">
        <v>64.7</v>
      </c>
      <c r="J186" s="117">
        <v>0</v>
      </c>
      <c r="K186" s="117">
        <v>0</v>
      </c>
      <c r="L186" s="117">
        <v>0</v>
      </c>
      <c r="M186" s="117">
        <v>0</v>
      </c>
      <c r="N186" s="117">
        <v>2.4</v>
      </c>
      <c r="O186" s="117">
        <v>0</v>
      </c>
      <c r="P186" s="117">
        <v>0</v>
      </c>
      <c r="Q186" s="117">
        <v>0</v>
      </c>
      <c r="R186" s="29"/>
      <c r="S186" s="29"/>
    </row>
    <row r="187" spans="1:19" s="354" customFormat="1" ht="15.75" customHeight="1" x14ac:dyDescent="0.25">
      <c r="A187" s="470">
        <v>172</v>
      </c>
      <c r="B187" s="542" t="s">
        <v>136</v>
      </c>
      <c r="C187" s="476"/>
      <c r="D187" s="477"/>
      <c r="E187" s="106">
        <v>250</v>
      </c>
      <c r="F187" s="470">
        <f>6.74*(E187+E188)/(250+10)</f>
        <v>6.74</v>
      </c>
      <c r="G187" s="470">
        <f>7.98*(E187+E188)/(250+10)</f>
        <v>7.98</v>
      </c>
      <c r="H187" s="470">
        <f>33.91*(E187+E188)/(250+10)</f>
        <v>33.909999999999997</v>
      </c>
      <c r="I187" s="470">
        <f>233.75*(E187+E188)/(250+10)</f>
        <v>233.75</v>
      </c>
      <c r="J187" s="470">
        <v>0</v>
      </c>
      <c r="K187" s="470">
        <v>0</v>
      </c>
      <c r="L187" s="470">
        <v>0</v>
      </c>
      <c r="M187" s="470">
        <v>0</v>
      </c>
      <c r="N187" s="470">
        <f>130.63*(E187+E188)/(250+10)</f>
        <v>130.63</v>
      </c>
      <c r="O187" s="470">
        <v>0</v>
      </c>
      <c r="P187" s="470">
        <f>70.25*(E187+E188)/(250+10)</f>
        <v>70.25</v>
      </c>
      <c r="Q187" s="470">
        <f>1.93*(E187+E188)/(250+10)</f>
        <v>1.93</v>
      </c>
      <c r="R187" s="17"/>
      <c r="S187" s="17"/>
    </row>
    <row r="188" spans="1:19" s="354" customFormat="1" ht="13.5" customHeight="1" x14ac:dyDescent="0.25">
      <c r="A188" s="471"/>
      <c r="B188" s="478"/>
      <c r="C188" s="479"/>
      <c r="D188" s="480"/>
      <c r="E188" s="106">
        <f>E187*4/100</f>
        <v>10</v>
      </c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Q188" s="471"/>
      <c r="R188" s="17"/>
      <c r="S188" s="17"/>
    </row>
    <row r="189" spans="1:19" s="354" customFormat="1" ht="15.75" customHeight="1" x14ac:dyDescent="0.25">
      <c r="A189" s="106">
        <v>209</v>
      </c>
      <c r="B189" s="543" t="s">
        <v>191</v>
      </c>
      <c r="C189" s="440"/>
      <c r="D189" s="441"/>
      <c r="E189" s="106">
        <v>40</v>
      </c>
      <c r="F189" s="148">
        <v>5.0999999999999996</v>
      </c>
      <c r="G189" s="106">
        <v>4.5999999999999996</v>
      </c>
      <c r="H189" s="106">
        <v>0.3</v>
      </c>
      <c r="I189" s="106">
        <v>63</v>
      </c>
      <c r="J189" s="106"/>
      <c r="K189" s="106"/>
      <c r="L189" s="106"/>
      <c r="M189" s="106"/>
      <c r="N189" s="106">
        <v>22</v>
      </c>
      <c r="O189" s="106"/>
      <c r="P189" s="106">
        <v>4.8</v>
      </c>
      <c r="Q189" s="106">
        <v>1</v>
      </c>
      <c r="R189" s="29"/>
      <c r="S189" s="29"/>
    </row>
    <row r="190" spans="1:19" s="354" customFormat="1" ht="15.75" customHeight="1" x14ac:dyDescent="0.25">
      <c r="A190" s="106">
        <v>379</v>
      </c>
      <c r="B190" s="439" t="s">
        <v>26</v>
      </c>
      <c r="C190" s="440"/>
      <c r="D190" s="441"/>
      <c r="E190" s="115">
        <v>200</v>
      </c>
      <c r="F190" s="115">
        <v>3.58</v>
      </c>
      <c r="G190" s="115">
        <v>2.68</v>
      </c>
      <c r="H190" s="115">
        <v>28.34</v>
      </c>
      <c r="I190" s="115">
        <v>151.80000000000001</v>
      </c>
      <c r="J190" s="115">
        <v>0.02</v>
      </c>
      <c r="K190" s="115">
        <v>0.04</v>
      </c>
      <c r="L190" s="115">
        <v>0.1</v>
      </c>
      <c r="M190" s="115">
        <v>1.3</v>
      </c>
      <c r="N190" s="115">
        <v>125.78</v>
      </c>
      <c r="O190" s="115">
        <v>0</v>
      </c>
      <c r="P190" s="115">
        <v>14</v>
      </c>
      <c r="Q190" s="115">
        <v>0.13</v>
      </c>
      <c r="R190" s="29"/>
      <c r="S190" s="29"/>
    </row>
    <row r="191" spans="1:19" s="354" customFormat="1" ht="15.75" customHeight="1" x14ac:dyDescent="0.25">
      <c r="A191" s="106" t="s">
        <v>27</v>
      </c>
      <c r="B191" s="439" t="s">
        <v>28</v>
      </c>
      <c r="C191" s="440"/>
      <c r="D191" s="441"/>
      <c r="E191" s="99">
        <v>45</v>
      </c>
      <c r="F191" s="117">
        <f>2.26*E191/30</f>
        <v>3.3899999999999997</v>
      </c>
      <c r="G191" s="117">
        <f>0.23*E191/30</f>
        <v>0.34499999999999997</v>
      </c>
      <c r="H191" s="117">
        <f>14.66*E191/30</f>
        <v>21.990000000000002</v>
      </c>
      <c r="I191" s="117">
        <f>68.86*E191/30</f>
        <v>103.28999999999999</v>
      </c>
      <c r="J191" s="117">
        <v>0</v>
      </c>
      <c r="K191" s="117">
        <v>0</v>
      </c>
      <c r="L191" s="117">
        <v>0</v>
      </c>
      <c r="M191" s="117">
        <v>0</v>
      </c>
      <c r="N191" s="117">
        <f>12.97*E191/30</f>
        <v>19.454999999999998</v>
      </c>
      <c r="O191" s="117">
        <v>0</v>
      </c>
      <c r="P191" s="117">
        <f>2.83*E191/30</f>
        <v>4.2450000000000001</v>
      </c>
      <c r="Q191" s="117">
        <f>0.74*E191/30</f>
        <v>1.1099999999999999</v>
      </c>
      <c r="R191" s="17"/>
      <c r="S191" s="17"/>
    </row>
    <row r="192" spans="1:19" s="354" customFormat="1" ht="15.75" customHeight="1" x14ac:dyDescent="0.25">
      <c r="A192" s="106"/>
      <c r="B192" s="442" t="s">
        <v>29</v>
      </c>
      <c r="C192" s="472"/>
      <c r="D192" s="473"/>
      <c r="E192" s="99">
        <f>SUM(E186:E191)+200+15+7</f>
        <v>767</v>
      </c>
      <c r="F192" s="117">
        <f t="shared" ref="F192:Q192" si="30">SUM(F186:F191)</f>
        <v>18.893333333333331</v>
      </c>
      <c r="G192" s="117">
        <f t="shared" si="30"/>
        <v>22.754999999999995</v>
      </c>
      <c r="H192" s="117">
        <f t="shared" si="30"/>
        <v>84.656666666666666</v>
      </c>
      <c r="I192" s="117">
        <f t="shared" si="30"/>
        <v>616.54</v>
      </c>
      <c r="J192" s="132">
        <f t="shared" si="30"/>
        <v>0.02</v>
      </c>
      <c r="K192" s="132">
        <f t="shared" si="30"/>
        <v>0.04</v>
      </c>
      <c r="L192" s="117">
        <f t="shared" si="30"/>
        <v>0.1</v>
      </c>
      <c r="M192" s="117">
        <f t="shared" si="30"/>
        <v>1.3</v>
      </c>
      <c r="N192" s="117">
        <f t="shared" si="30"/>
        <v>300.26499999999999</v>
      </c>
      <c r="O192" s="117">
        <f t="shared" si="30"/>
        <v>0</v>
      </c>
      <c r="P192" s="117">
        <f t="shared" si="30"/>
        <v>93.295000000000002</v>
      </c>
      <c r="Q192" s="117">
        <f t="shared" si="30"/>
        <v>4.17</v>
      </c>
      <c r="R192" s="29"/>
      <c r="S192" s="29"/>
    </row>
    <row r="193" spans="1:19" s="354" customFormat="1" ht="15.75" customHeight="1" x14ac:dyDescent="0.25">
      <c r="A193" s="201"/>
      <c r="B193" s="522" t="s">
        <v>30</v>
      </c>
      <c r="C193" s="446"/>
      <c r="D193" s="447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"/>
      <c r="S193" s="1"/>
    </row>
    <row r="194" spans="1:19" s="354" customFormat="1" ht="15.75" customHeight="1" x14ac:dyDescent="0.25">
      <c r="A194" s="106">
        <v>338</v>
      </c>
      <c r="B194" s="439" t="s">
        <v>31</v>
      </c>
      <c r="C194" s="440"/>
      <c r="D194" s="441"/>
      <c r="E194" s="133">
        <v>300</v>
      </c>
      <c r="F194" s="133">
        <v>4.5</v>
      </c>
      <c r="G194" s="134">
        <v>1.5</v>
      </c>
      <c r="H194" s="133">
        <v>27</v>
      </c>
      <c r="I194" s="133">
        <v>285</v>
      </c>
      <c r="J194" s="133">
        <v>0</v>
      </c>
      <c r="K194" s="133">
        <v>30</v>
      </c>
      <c r="L194" s="133">
        <v>0</v>
      </c>
      <c r="M194" s="133">
        <v>0</v>
      </c>
      <c r="N194" s="133">
        <v>24</v>
      </c>
      <c r="O194" s="133">
        <v>0</v>
      </c>
      <c r="P194" s="133">
        <v>126</v>
      </c>
      <c r="Q194" s="133">
        <v>2.1</v>
      </c>
      <c r="R194" s="1"/>
      <c r="S194" s="1"/>
    </row>
    <row r="195" spans="1:19" s="354" customFormat="1" ht="18.75" customHeight="1" x14ac:dyDescent="0.25">
      <c r="A195" s="106"/>
      <c r="B195" s="442" t="s">
        <v>112</v>
      </c>
      <c r="C195" s="472"/>
      <c r="D195" s="473"/>
      <c r="E195" s="106">
        <f>E194</f>
        <v>300</v>
      </c>
      <c r="F195" s="106">
        <f t="shared" ref="F195:Q195" si="31">SUM(F194)</f>
        <v>4.5</v>
      </c>
      <c r="G195" s="132">
        <f t="shared" si="31"/>
        <v>1.5</v>
      </c>
      <c r="H195" s="106">
        <f t="shared" si="31"/>
        <v>27</v>
      </c>
      <c r="I195" s="106">
        <f t="shared" si="31"/>
        <v>285</v>
      </c>
      <c r="J195" s="106">
        <f t="shared" si="31"/>
        <v>0</v>
      </c>
      <c r="K195" s="106">
        <f t="shared" si="31"/>
        <v>30</v>
      </c>
      <c r="L195" s="106">
        <f t="shared" si="31"/>
        <v>0</v>
      </c>
      <c r="M195" s="106">
        <f t="shared" si="31"/>
        <v>0</v>
      </c>
      <c r="N195" s="106">
        <f t="shared" si="31"/>
        <v>24</v>
      </c>
      <c r="O195" s="106">
        <f t="shared" si="31"/>
        <v>0</v>
      </c>
      <c r="P195" s="106">
        <f t="shared" si="31"/>
        <v>126</v>
      </c>
      <c r="Q195" s="106">
        <f t="shared" si="31"/>
        <v>2.1</v>
      </c>
      <c r="R195" s="1"/>
      <c r="S195" s="1"/>
    </row>
    <row r="196" spans="1:19" s="354" customFormat="1" ht="15.75" customHeight="1" x14ac:dyDescent="0.25">
      <c r="A196" s="201"/>
      <c r="B196" s="522" t="s">
        <v>33</v>
      </c>
      <c r="C196" s="446"/>
      <c r="D196" s="447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"/>
      <c r="S196" s="1"/>
    </row>
    <row r="197" spans="1:19" s="354" customFormat="1" ht="15.75" customHeight="1" x14ac:dyDescent="0.25">
      <c r="A197" s="106">
        <v>52</v>
      </c>
      <c r="B197" s="436" t="s">
        <v>80</v>
      </c>
      <c r="C197" s="440"/>
      <c r="D197" s="441"/>
      <c r="E197" s="99">
        <v>100</v>
      </c>
      <c r="F197" s="117">
        <v>1.4</v>
      </c>
      <c r="G197" s="117">
        <v>6.01</v>
      </c>
      <c r="H197" s="117">
        <v>8.26</v>
      </c>
      <c r="I197" s="117">
        <v>22</v>
      </c>
      <c r="J197" s="117">
        <f>0*E197/100</f>
        <v>0</v>
      </c>
      <c r="K197" s="117">
        <v>17.5</v>
      </c>
      <c r="L197" s="117">
        <f>0*E197/100</f>
        <v>0</v>
      </c>
      <c r="M197" s="117">
        <f>0*E197/100</f>
        <v>0</v>
      </c>
      <c r="N197" s="117">
        <v>14</v>
      </c>
      <c r="O197" s="117">
        <f>0*E197/100</f>
        <v>0</v>
      </c>
      <c r="P197" s="117">
        <v>20</v>
      </c>
      <c r="Q197" s="117">
        <v>0.9</v>
      </c>
      <c r="R197" s="29"/>
      <c r="S197" s="29"/>
    </row>
    <row r="198" spans="1:19" s="354" customFormat="1" ht="33" customHeight="1" x14ac:dyDescent="0.25">
      <c r="A198" s="115">
        <v>88</v>
      </c>
      <c r="B198" s="544" t="s">
        <v>34</v>
      </c>
      <c r="C198" s="440"/>
      <c r="D198" s="441"/>
      <c r="E198" s="94">
        <v>250</v>
      </c>
      <c r="F198" s="149">
        <f>1.76*E198/250</f>
        <v>1.76</v>
      </c>
      <c r="G198" s="149">
        <f>4.95*E198/250</f>
        <v>4.95</v>
      </c>
      <c r="H198" s="149">
        <f>11.5*E198/250</f>
        <v>11.5</v>
      </c>
      <c r="I198" s="149">
        <f>97.59*E198/250</f>
        <v>97.59</v>
      </c>
      <c r="J198" s="149" t="s">
        <v>35</v>
      </c>
      <c r="K198" s="149">
        <f>22*E198/250</f>
        <v>22</v>
      </c>
      <c r="L198" s="149">
        <v>0</v>
      </c>
      <c r="M198" s="149">
        <f>22*E198/250</f>
        <v>22</v>
      </c>
      <c r="N198" s="149">
        <f>50*E198/250</f>
        <v>50</v>
      </c>
      <c r="O198" s="117">
        <v>0</v>
      </c>
      <c r="P198" s="149">
        <f>34.25*E198/250</f>
        <v>34.25</v>
      </c>
      <c r="Q198" s="149">
        <f>0.75*E198/250</f>
        <v>0.75</v>
      </c>
      <c r="R198" s="29"/>
      <c r="S198" s="29"/>
    </row>
    <row r="199" spans="1:19" s="354" customFormat="1" ht="15.75" customHeight="1" x14ac:dyDescent="0.25">
      <c r="A199" s="533" t="s">
        <v>89</v>
      </c>
      <c r="B199" s="818" t="s">
        <v>228</v>
      </c>
      <c r="C199" s="767"/>
      <c r="D199" s="768"/>
      <c r="E199" s="99">
        <v>120</v>
      </c>
      <c r="F199" s="537">
        <f>14.8*(E199+E200)/(120+50)</f>
        <v>14.800348235294122</v>
      </c>
      <c r="G199" s="537">
        <f>15.77*(E199+E200)/(120+50)</f>
        <v>15.770371058823532</v>
      </c>
      <c r="H199" s="537">
        <f>22.16*(E199+E200)/(120+50)</f>
        <v>22.160521411764709</v>
      </c>
      <c r="I199" s="537">
        <f>289.8*(E199+E200)/(120+50)</f>
        <v>289.80681882352945</v>
      </c>
      <c r="J199" s="537">
        <f>0*(E199+E200)/(120+50)</f>
        <v>0</v>
      </c>
      <c r="K199" s="537">
        <f>1*(E199+E200)/(120+50)</f>
        <v>1.0000235294117648</v>
      </c>
      <c r="L199" s="537">
        <v>0</v>
      </c>
      <c r="M199" s="537">
        <v>0</v>
      </c>
      <c r="N199" s="537">
        <f>11.56*(E199+E200)/(120+50)</f>
        <v>11.560272000000003</v>
      </c>
      <c r="O199" s="537">
        <v>0</v>
      </c>
      <c r="P199" s="537">
        <f>18*(E199+E200)/(120+50)</f>
        <v>18.000423529411766</v>
      </c>
      <c r="Q199" s="537">
        <f>2.95*(E199+E200)/(120+50)</f>
        <v>2.9500694117647064</v>
      </c>
      <c r="R199" s="29"/>
      <c r="S199" s="29"/>
    </row>
    <row r="200" spans="1:19" s="354" customFormat="1" ht="14.25" customHeight="1" x14ac:dyDescent="0.25">
      <c r="A200" s="471"/>
      <c r="B200" s="769"/>
      <c r="C200" s="770"/>
      <c r="D200" s="771"/>
      <c r="E200" s="99">
        <f>E199*41.67/100</f>
        <v>50.004000000000005</v>
      </c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Q200" s="471"/>
      <c r="R200" s="29"/>
      <c r="S200" s="29"/>
    </row>
    <row r="201" spans="1:19" s="359" customFormat="1" ht="14.25" customHeight="1" x14ac:dyDescent="0.25">
      <c r="A201" s="470">
        <v>171</v>
      </c>
      <c r="B201" s="552" t="s">
        <v>115</v>
      </c>
      <c r="C201" s="476"/>
      <c r="D201" s="477"/>
      <c r="E201" s="162">
        <v>220</v>
      </c>
      <c r="F201" s="537">
        <f>11.05*(E201+E202)/(190+10)</f>
        <v>12.7955685</v>
      </c>
      <c r="G201" s="537">
        <f>11.93*(E201+E202)/(190+10)</f>
        <v>13.814582100000001</v>
      </c>
      <c r="H201" s="537">
        <f>46.07*(E201+E202)/(190+10)</f>
        <v>53.347677900000001</v>
      </c>
      <c r="I201" s="537">
        <f>350*(E201+E202)/(190+10)</f>
        <v>405.28949999999998</v>
      </c>
      <c r="J201" s="537">
        <v>0</v>
      </c>
      <c r="K201" s="537">
        <v>0</v>
      </c>
      <c r="L201" s="537">
        <v>0</v>
      </c>
      <c r="M201" s="537">
        <v>0</v>
      </c>
      <c r="N201" s="537">
        <f>32.97*(E201+E202)/(190+10)</f>
        <v>38.178270900000001</v>
      </c>
      <c r="O201" s="537">
        <v>0</v>
      </c>
      <c r="P201" s="537">
        <f>175.64*(E201+E202)/(190+10)</f>
        <v>203.38585079999996</v>
      </c>
      <c r="Q201" s="537">
        <f>5.9*(E201+E202)/(190+10)</f>
        <v>6.8320230000000004</v>
      </c>
      <c r="R201" s="19"/>
      <c r="S201" s="19"/>
    </row>
    <row r="202" spans="1:19" s="359" customFormat="1" ht="15" customHeight="1" x14ac:dyDescent="0.25">
      <c r="A202" s="471"/>
      <c r="B202" s="478"/>
      <c r="C202" s="479"/>
      <c r="D202" s="480"/>
      <c r="E202" s="100">
        <f>E201*5.27/100</f>
        <v>11.593999999999999</v>
      </c>
      <c r="F202" s="471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Q202" s="471"/>
      <c r="R202" s="17"/>
      <c r="S202" s="17"/>
    </row>
    <row r="203" spans="1:19" s="354" customFormat="1" ht="15.75" customHeight="1" x14ac:dyDescent="0.25">
      <c r="A203" s="106" t="s">
        <v>27</v>
      </c>
      <c r="B203" s="41" t="s">
        <v>39</v>
      </c>
      <c r="C203" s="41"/>
      <c r="D203" s="41"/>
      <c r="E203" s="99">
        <v>120</v>
      </c>
      <c r="F203" s="117">
        <f>4.03*E203/50</f>
        <v>9.6720000000000006</v>
      </c>
      <c r="G203" s="117">
        <f>0.5*E203/50</f>
        <v>1.2</v>
      </c>
      <c r="H203" s="117">
        <f>22.36*E203/50</f>
        <v>53.663999999999994</v>
      </c>
      <c r="I203" s="117">
        <f>98.86*E203/50</f>
        <v>237.26400000000001</v>
      </c>
      <c r="J203" s="117">
        <v>0</v>
      </c>
      <c r="K203" s="117">
        <v>0</v>
      </c>
      <c r="L203" s="117">
        <v>0</v>
      </c>
      <c r="M203" s="117">
        <v>0</v>
      </c>
      <c r="N203" s="117">
        <f>17.59*E203/50</f>
        <v>42.216000000000001</v>
      </c>
      <c r="O203" s="117">
        <v>0</v>
      </c>
      <c r="P203" s="117">
        <f>1.89*E203/50</f>
        <v>4.5359999999999996</v>
      </c>
      <c r="Q203" s="117">
        <f>0.88*E203/50</f>
        <v>2.1120000000000001</v>
      </c>
      <c r="R203" s="17"/>
      <c r="S203" s="17"/>
    </row>
    <row r="204" spans="1:19" s="354" customFormat="1" ht="15.75" customHeight="1" x14ac:dyDescent="0.25">
      <c r="A204" s="106" t="s">
        <v>27</v>
      </c>
      <c r="B204" s="439" t="s">
        <v>28</v>
      </c>
      <c r="C204" s="440"/>
      <c r="D204" s="441"/>
      <c r="E204" s="99">
        <v>45</v>
      </c>
      <c r="F204" s="117">
        <f>2.26*E204/30</f>
        <v>3.3899999999999997</v>
      </c>
      <c r="G204" s="117">
        <f>0.23*E204/30</f>
        <v>0.34499999999999997</v>
      </c>
      <c r="H204" s="117">
        <f>14.66*E204/30</f>
        <v>21.990000000000002</v>
      </c>
      <c r="I204" s="117">
        <f>68.86*E204/30</f>
        <v>103.28999999999999</v>
      </c>
      <c r="J204" s="117">
        <v>0</v>
      </c>
      <c r="K204" s="117">
        <v>0</v>
      </c>
      <c r="L204" s="117">
        <v>0</v>
      </c>
      <c r="M204" s="117">
        <v>0</v>
      </c>
      <c r="N204" s="117">
        <f>12.97*E204/30</f>
        <v>19.454999999999998</v>
      </c>
      <c r="O204" s="117">
        <v>0</v>
      </c>
      <c r="P204" s="117">
        <f>2.83*E204/30</f>
        <v>4.2450000000000001</v>
      </c>
      <c r="Q204" s="117">
        <f>0.74*E204/30</f>
        <v>1.1099999999999999</v>
      </c>
      <c r="R204" s="17"/>
      <c r="S204" s="17"/>
    </row>
    <row r="205" spans="1:19" s="354" customFormat="1" ht="15.75" customHeight="1" x14ac:dyDescent="0.25">
      <c r="A205" s="106"/>
      <c r="B205" s="442" t="s">
        <v>65</v>
      </c>
      <c r="C205" s="443"/>
      <c r="D205" s="444"/>
      <c r="E205" s="99">
        <f t="shared" ref="E205:Q205" si="32">SUM(E197:E204)</f>
        <v>916.59800000000007</v>
      </c>
      <c r="F205" s="117">
        <f t="shared" si="32"/>
        <v>43.817916735294119</v>
      </c>
      <c r="G205" s="117">
        <f t="shared" si="32"/>
        <v>42.089953158823533</v>
      </c>
      <c r="H205" s="117">
        <f t="shared" si="32"/>
        <v>170.9221993117647</v>
      </c>
      <c r="I205" s="117">
        <f t="shared" si="32"/>
        <v>1155.2403188235294</v>
      </c>
      <c r="J205" s="117">
        <f t="shared" si="32"/>
        <v>0</v>
      </c>
      <c r="K205" s="117">
        <f t="shared" si="32"/>
        <v>40.500023529411763</v>
      </c>
      <c r="L205" s="117">
        <f t="shared" si="32"/>
        <v>0</v>
      </c>
      <c r="M205" s="117">
        <f t="shared" si="32"/>
        <v>22</v>
      </c>
      <c r="N205" s="117">
        <f t="shared" si="32"/>
        <v>175.40954290000002</v>
      </c>
      <c r="O205" s="117">
        <f t="shared" si="32"/>
        <v>0</v>
      </c>
      <c r="P205" s="117">
        <f t="shared" si="32"/>
        <v>284.41727432941173</v>
      </c>
      <c r="Q205" s="117">
        <f t="shared" si="32"/>
        <v>14.654092411764706</v>
      </c>
      <c r="R205" s="29"/>
      <c r="S205" s="29"/>
    </row>
    <row r="206" spans="1:19" s="354" customFormat="1" ht="15.75" customHeight="1" x14ac:dyDescent="0.25">
      <c r="A206" s="201"/>
      <c r="B206" s="445" t="s">
        <v>41</v>
      </c>
      <c r="C206" s="446"/>
      <c r="D206" s="447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"/>
      <c r="S206" s="1"/>
    </row>
    <row r="207" spans="1:19" s="354" customFormat="1" ht="15.75" customHeight="1" x14ac:dyDescent="0.25">
      <c r="A207" s="470">
        <v>222</v>
      </c>
      <c r="B207" s="539" t="s">
        <v>194</v>
      </c>
      <c r="C207" s="476"/>
      <c r="D207" s="477"/>
      <c r="E207" s="102">
        <v>250</v>
      </c>
      <c r="F207" s="546">
        <f>27.85*(E207+E208)/(250+50)</f>
        <v>27.85</v>
      </c>
      <c r="G207" s="546">
        <f>29.9*(E207+E208)/(250+50)</f>
        <v>29.9</v>
      </c>
      <c r="H207" s="546">
        <f>50.85*(E207+E208)/(250+50)</f>
        <v>50.85</v>
      </c>
      <c r="I207" s="546">
        <f>583.9*(E207+E208)/(250+50)</f>
        <v>583.9</v>
      </c>
      <c r="J207" s="546">
        <v>0</v>
      </c>
      <c r="K207" s="546">
        <f>0.5*(E207+E208)/(250+50)</f>
        <v>0.5</v>
      </c>
      <c r="L207" s="546">
        <v>0</v>
      </c>
      <c r="M207" s="546">
        <v>0</v>
      </c>
      <c r="N207" s="546">
        <f>325*(E207+E208)/(250+50)</f>
        <v>325</v>
      </c>
      <c r="O207" s="546">
        <v>0</v>
      </c>
      <c r="P207" s="546">
        <f>57*(E207+E208)/(250+50)</f>
        <v>57</v>
      </c>
      <c r="Q207" s="546">
        <f>2.4*(E207+E208)/(250+50)</f>
        <v>2.4</v>
      </c>
      <c r="R207" s="17"/>
      <c r="S207" s="17"/>
    </row>
    <row r="208" spans="1:19" s="354" customFormat="1" ht="15.75" customHeight="1" x14ac:dyDescent="0.25">
      <c r="A208" s="471"/>
      <c r="B208" s="478"/>
      <c r="C208" s="479"/>
      <c r="D208" s="480"/>
      <c r="E208" s="150">
        <f>E207*20/100</f>
        <v>50</v>
      </c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Q208" s="471"/>
      <c r="R208" s="17"/>
      <c r="S208" s="17"/>
    </row>
    <row r="209" spans="1:19" s="354" customFormat="1" ht="15.75" customHeight="1" x14ac:dyDescent="0.25">
      <c r="A209" s="106">
        <v>382</v>
      </c>
      <c r="B209" s="439" t="s">
        <v>58</v>
      </c>
      <c r="C209" s="440"/>
      <c r="D209" s="441"/>
      <c r="E209" s="349">
        <v>200</v>
      </c>
      <c r="F209" s="347">
        <v>3.76</v>
      </c>
      <c r="G209" s="347">
        <v>3.2</v>
      </c>
      <c r="H209" s="347">
        <v>17.57</v>
      </c>
      <c r="I209" s="347">
        <v>114.12</v>
      </c>
      <c r="J209" s="347">
        <v>0</v>
      </c>
      <c r="K209" s="347">
        <v>1.58</v>
      </c>
      <c r="L209" s="347">
        <v>0</v>
      </c>
      <c r="M209" s="347">
        <v>0</v>
      </c>
      <c r="N209" s="347">
        <v>152.22</v>
      </c>
      <c r="O209" s="347">
        <v>0</v>
      </c>
      <c r="P209" s="347">
        <v>21.34</v>
      </c>
      <c r="Q209" s="347">
        <v>0.47</v>
      </c>
      <c r="R209" s="29"/>
      <c r="S209" s="29"/>
    </row>
    <row r="210" spans="1:19" s="354" customFormat="1" ht="15.75" customHeight="1" x14ac:dyDescent="0.25">
      <c r="A210" s="106"/>
      <c r="B210" s="442" t="s">
        <v>86</v>
      </c>
      <c r="C210" s="472"/>
      <c r="D210" s="473"/>
      <c r="E210" s="106">
        <f t="shared" ref="E210:Q210" si="33">SUM(E207:E209)</f>
        <v>500</v>
      </c>
      <c r="F210" s="132">
        <f t="shared" si="33"/>
        <v>31.61</v>
      </c>
      <c r="G210" s="106">
        <f t="shared" si="33"/>
        <v>33.1</v>
      </c>
      <c r="H210" s="106">
        <f t="shared" si="33"/>
        <v>68.42</v>
      </c>
      <c r="I210" s="106">
        <f t="shared" si="33"/>
        <v>698.02</v>
      </c>
      <c r="J210" s="106">
        <f t="shared" si="33"/>
        <v>0</v>
      </c>
      <c r="K210" s="106">
        <f t="shared" si="33"/>
        <v>2.08</v>
      </c>
      <c r="L210" s="106">
        <f t="shared" si="33"/>
        <v>0</v>
      </c>
      <c r="M210" s="106">
        <f t="shared" si="33"/>
        <v>0</v>
      </c>
      <c r="N210" s="106">
        <f t="shared" si="33"/>
        <v>477.22</v>
      </c>
      <c r="O210" s="106">
        <f t="shared" si="33"/>
        <v>0</v>
      </c>
      <c r="P210" s="106">
        <f t="shared" si="33"/>
        <v>78.34</v>
      </c>
      <c r="Q210" s="106">
        <f t="shared" si="33"/>
        <v>2.87</v>
      </c>
      <c r="R210" s="29"/>
      <c r="S210" s="29"/>
    </row>
    <row r="211" spans="1:19" s="354" customFormat="1" ht="15.75" customHeight="1" x14ac:dyDescent="0.25">
      <c r="A211" s="201"/>
      <c r="B211" s="474" t="s">
        <v>44</v>
      </c>
      <c r="C211" s="446"/>
      <c r="D211" s="447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"/>
      <c r="S211" s="1"/>
    </row>
    <row r="212" spans="1:19" s="354" customFormat="1" ht="15.75" customHeight="1" x14ac:dyDescent="0.25">
      <c r="A212" s="470" t="s">
        <v>68</v>
      </c>
      <c r="B212" s="539" t="s">
        <v>69</v>
      </c>
      <c r="C212" s="476"/>
      <c r="D212" s="477"/>
      <c r="E212" s="122">
        <v>100</v>
      </c>
      <c r="F212" s="470">
        <f>23.56*(E212+E213)/(100+100)</f>
        <v>23.56</v>
      </c>
      <c r="G212" s="470">
        <f>20.24*(E212+E213)/(100+100)</f>
        <v>20.239999999999998</v>
      </c>
      <c r="H212" s="470">
        <f>5.86*(E212+E213)/(100+100)</f>
        <v>5.86</v>
      </c>
      <c r="I212" s="470">
        <f>300*(E212+E213)/(100+100)</f>
        <v>300</v>
      </c>
      <c r="J212" s="470">
        <v>0</v>
      </c>
      <c r="K212" s="470">
        <f>2.88*(E212+E213)/(100+100)</f>
        <v>2.88</v>
      </c>
      <c r="L212" s="470">
        <v>0</v>
      </c>
      <c r="M212" s="470">
        <v>0</v>
      </c>
      <c r="N212" s="470">
        <f>77.8*(E212+E213)/(100+100)</f>
        <v>77.8</v>
      </c>
      <c r="O212" s="470">
        <v>0</v>
      </c>
      <c r="P212" s="470">
        <f>26.28*(E212+E213)/(100+100)</f>
        <v>26.28</v>
      </c>
      <c r="Q212" s="470">
        <f>1.82*(E212+E213)/(100+100)</f>
        <v>1.82</v>
      </c>
      <c r="R212" s="17"/>
      <c r="S212" s="17"/>
    </row>
    <row r="213" spans="1:19" s="354" customFormat="1" ht="15.75" customHeight="1" x14ac:dyDescent="0.25">
      <c r="A213" s="471"/>
      <c r="B213" s="478"/>
      <c r="C213" s="479"/>
      <c r="D213" s="480"/>
      <c r="E213" s="122">
        <f>E212</f>
        <v>100</v>
      </c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Q213" s="471"/>
      <c r="R213" s="19"/>
      <c r="S213" s="19"/>
    </row>
    <row r="214" spans="1:19" s="354" customFormat="1" ht="15.75" customHeight="1" x14ac:dyDescent="0.25">
      <c r="A214" s="106">
        <v>302</v>
      </c>
      <c r="B214" s="41" t="s">
        <v>175</v>
      </c>
      <c r="C214" s="41"/>
      <c r="D214" s="41"/>
      <c r="E214" s="115">
        <v>200</v>
      </c>
      <c r="F214" s="115">
        <f>8.6*E214/200</f>
        <v>8.6</v>
      </c>
      <c r="G214" s="115">
        <f>7.2*E214/200</f>
        <v>7.2</v>
      </c>
      <c r="H214" s="115">
        <f>47.6*E214/200</f>
        <v>47.6</v>
      </c>
      <c r="I214" s="115">
        <f>289.6*E214/200</f>
        <v>289.60000000000002</v>
      </c>
      <c r="J214" s="115"/>
      <c r="K214" s="115">
        <v>0</v>
      </c>
      <c r="L214" s="115">
        <v>0</v>
      </c>
      <c r="M214" s="115"/>
      <c r="N214" s="115">
        <f>14.64*E214/200</f>
        <v>14.64</v>
      </c>
      <c r="O214" s="115">
        <v>0</v>
      </c>
      <c r="P214" s="115">
        <f>40.45*E214/200</f>
        <v>40.450000000000003</v>
      </c>
      <c r="Q214" s="115">
        <f>3.41*E214/200</f>
        <v>3.41</v>
      </c>
      <c r="R214" s="17"/>
      <c r="S214" s="17"/>
    </row>
    <row r="215" spans="1:19" s="354" customFormat="1" ht="15.75" customHeight="1" x14ac:dyDescent="0.25">
      <c r="A215" s="106">
        <v>389</v>
      </c>
      <c r="B215" s="439" t="s">
        <v>188</v>
      </c>
      <c r="C215" s="440"/>
      <c r="D215" s="441"/>
      <c r="E215" s="95">
        <v>200</v>
      </c>
      <c r="F215" s="347">
        <v>1</v>
      </c>
      <c r="G215" s="347">
        <v>0</v>
      </c>
      <c r="H215" s="347">
        <v>20.2</v>
      </c>
      <c r="I215" s="151">
        <v>84.8</v>
      </c>
      <c r="J215" s="152">
        <v>0</v>
      </c>
      <c r="K215" s="152">
        <v>4</v>
      </c>
      <c r="L215" s="152">
        <v>0</v>
      </c>
      <c r="M215" s="152">
        <v>0</v>
      </c>
      <c r="N215" s="152">
        <v>14</v>
      </c>
      <c r="O215" s="152">
        <v>0</v>
      </c>
      <c r="P215" s="152">
        <v>8</v>
      </c>
      <c r="Q215" s="152">
        <v>2.8</v>
      </c>
      <c r="R215" s="29"/>
      <c r="S215" s="29"/>
    </row>
    <row r="216" spans="1:19" s="354" customFormat="1" ht="15.75" customHeight="1" x14ac:dyDescent="0.25">
      <c r="A216" s="106"/>
      <c r="B216" s="41" t="s">
        <v>39</v>
      </c>
      <c r="C216" s="41"/>
      <c r="D216" s="41"/>
      <c r="E216" s="99">
        <v>55</v>
      </c>
      <c r="F216" s="117">
        <f>4.03*E216/50</f>
        <v>4.4329999999999998</v>
      </c>
      <c r="G216" s="117">
        <f>0.5*E216/50</f>
        <v>0.55000000000000004</v>
      </c>
      <c r="H216" s="117">
        <f>22.36*E216/50</f>
        <v>24.596</v>
      </c>
      <c r="I216" s="117">
        <f>98.86*E216/50</f>
        <v>108.74600000000001</v>
      </c>
      <c r="J216" s="117">
        <v>0</v>
      </c>
      <c r="K216" s="117">
        <v>0</v>
      </c>
      <c r="L216" s="117">
        <v>0</v>
      </c>
      <c r="M216" s="117">
        <v>0</v>
      </c>
      <c r="N216" s="117">
        <f>17.59*E216/50</f>
        <v>19.349</v>
      </c>
      <c r="O216" s="117">
        <v>0</v>
      </c>
      <c r="P216" s="117">
        <f>1.89*E216/50</f>
        <v>2.0789999999999997</v>
      </c>
      <c r="Q216" s="117">
        <f>0.88*E216/50</f>
        <v>0.96799999999999997</v>
      </c>
      <c r="R216" s="17"/>
      <c r="S216" s="17"/>
    </row>
    <row r="217" spans="1:19" s="354" customFormat="1" ht="15.75" customHeight="1" x14ac:dyDescent="0.25">
      <c r="A217" s="106"/>
      <c r="B217" s="439" t="s">
        <v>28</v>
      </c>
      <c r="C217" s="440"/>
      <c r="D217" s="441"/>
      <c r="E217" s="99">
        <v>30</v>
      </c>
      <c r="F217" s="117">
        <f>2.26*E217/30</f>
        <v>2.2599999999999998</v>
      </c>
      <c r="G217" s="117">
        <f>0.23*E217/30</f>
        <v>0.23</v>
      </c>
      <c r="H217" s="117">
        <f>14.66*E217/30</f>
        <v>14.66</v>
      </c>
      <c r="I217" s="117">
        <f>68.86*E217/30</f>
        <v>68.86</v>
      </c>
      <c r="J217" s="117">
        <v>0</v>
      </c>
      <c r="K217" s="117">
        <v>0</v>
      </c>
      <c r="L217" s="117">
        <v>0</v>
      </c>
      <c r="M217" s="117">
        <v>0</v>
      </c>
      <c r="N217" s="117">
        <f>12.97*E217/30</f>
        <v>12.97</v>
      </c>
      <c r="O217" s="117">
        <v>0</v>
      </c>
      <c r="P217" s="117">
        <f>2.83*E217/30</f>
        <v>2.83</v>
      </c>
      <c r="Q217" s="117">
        <f>0.74*E217/30</f>
        <v>0.74</v>
      </c>
      <c r="R217" s="17"/>
      <c r="S217" s="17"/>
    </row>
    <row r="218" spans="1:19" s="354" customFormat="1" ht="15.75" customHeight="1" x14ac:dyDescent="0.25">
      <c r="A218" s="106"/>
      <c r="B218" s="442" t="s">
        <v>72</v>
      </c>
      <c r="C218" s="472"/>
      <c r="D218" s="473"/>
      <c r="E218" s="100">
        <f t="shared" ref="E218:Q218" si="34">SUM(E212:E217)</f>
        <v>685</v>
      </c>
      <c r="F218" s="117">
        <f t="shared" si="34"/>
        <v>39.852999999999994</v>
      </c>
      <c r="G218" s="117">
        <f t="shared" si="34"/>
        <v>28.22</v>
      </c>
      <c r="H218" s="117">
        <f t="shared" si="34"/>
        <v>112.916</v>
      </c>
      <c r="I218" s="117">
        <f t="shared" si="34"/>
        <v>852.00599999999997</v>
      </c>
      <c r="J218" s="117">
        <f t="shared" si="34"/>
        <v>0</v>
      </c>
      <c r="K218" s="117">
        <f t="shared" si="34"/>
        <v>6.88</v>
      </c>
      <c r="L218" s="117">
        <f t="shared" si="34"/>
        <v>0</v>
      </c>
      <c r="M218" s="117">
        <f t="shared" si="34"/>
        <v>0</v>
      </c>
      <c r="N218" s="117">
        <f t="shared" si="34"/>
        <v>138.75900000000001</v>
      </c>
      <c r="O218" s="117">
        <f t="shared" si="34"/>
        <v>0</v>
      </c>
      <c r="P218" s="117">
        <f t="shared" si="34"/>
        <v>79.638999999999996</v>
      </c>
      <c r="Q218" s="117">
        <f t="shared" si="34"/>
        <v>9.7380000000000013</v>
      </c>
      <c r="R218" s="29"/>
      <c r="S218" s="29"/>
    </row>
    <row r="219" spans="1:19" s="354" customFormat="1" ht="13.5" customHeight="1" x14ac:dyDescent="0.25">
      <c r="A219" s="201"/>
      <c r="B219" s="522" t="s">
        <v>149</v>
      </c>
      <c r="C219" s="446"/>
      <c r="D219" s="447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"/>
      <c r="S219" s="1"/>
    </row>
    <row r="220" spans="1:19" s="354" customFormat="1" ht="14.25" customHeight="1" x14ac:dyDescent="0.25">
      <c r="A220" s="106">
        <v>386</v>
      </c>
      <c r="B220" s="482" t="s">
        <v>93</v>
      </c>
      <c r="C220" s="440"/>
      <c r="D220" s="441"/>
      <c r="E220" s="102">
        <v>200</v>
      </c>
      <c r="F220" s="106">
        <v>5.6</v>
      </c>
      <c r="G220" s="106">
        <v>6.4</v>
      </c>
      <c r="H220" s="106">
        <v>7.6</v>
      </c>
      <c r="I220" s="106">
        <v>110</v>
      </c>
      <c r="J220" s="132">
        <v>0</v>
      </c>
      <c r="K220" s="106">
        <v>0.6</v>
      </c>
      <c r="L220" s="132">
        <v>0</v>
      </c>
      <c r="M220" s="106">
        <v>0</v>
      </c>
      <c r="N220" s="132">
        <v>248</v>
      </c>
      <c r="O220" s="106">
        <v>0</v>
      </c>
      <c r="P220" s="132">
        <v>28</v>
      </c>
      <c r="Q220" s="106">
        <v>0.2</v>
      </c>
      <c r="R220" s="29"/>
      <c r="S220" s="29"/>
    </row>
    <row r="221" spans="1:19" s="354" customFormat="1" ht="14.25" customHeight="1" x14ac:dyDescent="0.25">
      <c r="A221" s="106" t="s">
        <v>27</v>
      </c>
      <c r="B221" s="545" t="s">
        <v>195</v>
      </c>
      <c r="C221" s="440"/>
      <c r="D221" s="441"/>
      <c r="E221" s="153" t="s">
        <v>196</v>
      </c>
      <c r="F221" s="135">
        <v>1.62</v>
      </c>
      <c r="G221" s="135">
        <v>6.66</v>
      </c>
      <c r="H221" s="135">
        <v>10.7</v>
      </c>
      <c r="I221" s="135">
        <v>109.22</v>
      </c>
      <c r="J221" s="154">
        <v>0</v>
      </c>
      <c r="K221" s="154">
        <v>0.1</v>
      </c>
      <c r="L221" s="154">
        <v>0</v>
      </c>
      <c r="M221" s="154">
        <v>0</v>
      </c>
      <c r="N221" s="154">
        <v>18</v>
      </c>
      <c r="O221" s="154">
        <v>90</v>
      </c>
      <c r="P221" s="154">
        <v>215</v>
      </c>
      <c r="Q221" s="154">
        <v>11.7</v>
      </c>
      <c r="R221" s="29"/>
      <c r="S221" s="29"/>
    </row>
    <row r="222" spans="1:19" s="354" customFormat="1" ht="15.75" customHeight="1" x14ac:dyDescent="0.25">
      <c r="A222" s="106"/>
      <c r="B222" s="442" t="s">
        <v>197</v>
      </c>
      <c r="C222" s="472"/>
      <c r="D222" s="473"/>
      <c r="E222" s="26">
        <f>E220+20</f>
        <v>220</v>
      </c>
      <c r="F222" s="26">
        <f t="shared" ref="F222:Q222" si="35">SUM(F220:F221)</f>
        <v>7.22</v>
      </c>
      <c r="G222" s="26">
        <f t="shared" si="35"/>
        <v>13.06</v>
      </c>
      <c r="H222" s="26">
        <f t="shared" si="35"/>
        <v>18.299999999999997</v>
      </c>
      <c r="I222" s="26">
        <f t="shared" si="35"/>
        <v>219.22</v>
      </c>
      <c r="J222" s="55">
        <f t="shared" si="35"/>
        <v>0</v>
      </c>
      <c r="K222" s="26">
        <f t="shared" si="35"/>
        <v>0.7</v>
      </c>
      <c r="L222" s="55">
        <f t="shared" si="35"/>
        <v>0</v>
      </c>
      <c r="M222" s="26">
        <f t="shared" si="35"/>
        <v>0</v>
      </c>
      <c r="N222" s="55">
        <f t="shared" si="35"/>
        <v>266</v>
      </c>
      <c r="O222" s="26">
        <f t="shared" si="35"/>
        <v>90</v>
      </c>
      <c r="P222" s="55">
        <f t="shared" si="35"/>
        <v>243</v>
      </c>
      <c r="Q222" s="26">
        <f t="shared" si="35"/>
        <v>11.899999999999999</v>
      </c>
      <c r="R222" s="17"/>
      <c r="S222" s="17"/>
    </row>
    <row r="223" spans="1:19" s="354" customFormat="1" ht="15.75" customHeight="1" x14ac:dyDescent="0.25">
      <c r="A223" s="109"/>
      <c r="B223" s="436" t="s">
        <v>53</v>
      </c>
      <c r="C223" s="437"/>
      <c r="D223" s="438"/>
      <c r="E223" s="91">
        <v>8</v>
      </c>
      <c r="F223" s="144"/>
      <c r="G223" s="144"/>
      <c r="H223" s="144"/>
      <c r="I223" s="144"/>
      <c r="J223" s="144"/>
      <c r="K223" s="144"/>
      <c r="L223" s="144"/>
      <c r="M223" s="144"/>
      <c r="N223" s="144">
        <v>29.44</v>
      </c>
      <c r="O223" s="144"/>
      <c r="P223" s="144">
        <v>1.76</v>
      </c>
      <c r="Q223" s="144">
        <v>0.23</v>
      </c>
      <c r="R223" s="221"/>
      <c r="S223" s="221"/>
    </row>
    <row r="224" spans="1:19" s="354" customFormat="1" ht="15.75" customHeight="1" x14ac:dyDescent="0.25">
      <c r="A224" s="106"/>
      <c r="B224" s="422" t="s">
        <v>122</v>
      </c>
      <c r="C224" s="423"/>
      <c r="D224" s="424"/>
      <c r="E224" s="27">
        <f t="shared" ref="E224:M224" si="36">SUM(E192,E195,E205,E210,E218,E222)</f>
        <v>3388.598</v>
      </c>
      <c r="F224" s="22">
        <f t="shared" si="36"/>
        <v>145.89425006862743</v>
      </c>
      <c r="G224" s="22">
        <f t="shared" si="36"/>
        <v>140.72495315882352</v>
      </c>
      <c r="H224" s="22">
        <f t="shared" si="36"/>
        <v>482.21486597843142</v>
      </c>
      <c r="I224" s="22">
        <f t="shared" si="36"/>
        <v>3826.026318823529</v>
      </c>
      <c r="J224" s="22">
        <f t="shared" si="36"/>
        <v>0.02</v>
      </c>
      <c r="K224" s="22">
        <f t="shared" si="36"/>
        <v>80.200023529411766</v>
      </c>
      <c r="L224" s="22">
        <f t="shared" si="36"/>
        <v>0.1</v>
      </c>
      <c r="M224" s="22">
        <f t="shared" si="36"/>
        <v>23.3</v>
      </c>
      <c r="N224" s="22">
        <f>SUM(N192,N195,N205,N210,N218,N222,N223)</f>
        <v>1411.0935429000001</v>
      </c>
      <c r="O224" s="22">
        <f>SUM(O192,O195,O205,O210,O218,O222)</f>
        <v>90</v>
      </c>
      <c r="P224" s="22">
        <f>SUM(P192,P195,P205,P210,P218,P222)</f>
        <v>904.69127432941173</v>
      </c>
      <c r="Q224" s="22">
        <f>SUM(Q192,Q195,Q205,Q210,Q218,Q222)</f>
        <v>45.432092411764707</v>
      </c>
      <c r="R224" s="29"/>
      <c r="S224" s="29"/>
    </row>
    <row r="225" spans="1:19" s="354" customFormat="1" ht="15.75" customHeight="1" x14ac:dyDescent="0.25">
      <c r="A225" s="355"/>
      <c r="B225" s="43"/>
      <c r="C225" s="43"/>
      <c r="D225" s="43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1"/>
      <c r="S225" s="1"/>
    </row>
    <row r="226" spans="1:19" s="354" customFormat="1" ht="9.75" customHeight="1" x14ac:dyDescent="0.25">
      <c r="A226" s="523" t="s">
        <v>123</v>
      </c>
      <c r="B226" s="524"/>
      <c r="C226" s="524"/>
      <c r="D226" s="524"/>
      <c r="E226" s="524"/>
      <c r="F226" s="524"/>
      <c r="G226" s="524"/>
      <c r="H226" s="524"/>
      <c r="I226" s="524"/>
      <c r="J226" s="524"/>
      <c r="K226" s="524"/>
      <c r="L226" s="524"/>
      <c r="M226" s="524"/>
      <c r="N226" s="524"/>
      <c r="O226" s="524"/>
      <c r="P226" s="524"/>
      <c r="Q226" s="524"/>
      <c r="R226" s="525"/>
      <c r="S226" s="1"/>
    </row>
    <row r="227" spans="1:19" s="354" customFormat="1" ht="15.75" customHeight="1" x14ac:dyDescent="0.25">
      <c r="A227" s="526" t="s">
        <v>3</v>
      </c>
      <c r="B227" s="766" t="s">
        <v>4</v>
      </c>
      <c r="C227" s="767"/>
      <c r="D227" s="768"/>
      <c r="E227" s="68" t="s">
        <v>5</v>
      </c>
      <c r="F227" s="530" t="s">
        <v>6</v>
      </c>
      <c r="G227" s="440"/>
      <c r="H227" s="441"/>
      <c r="I227" s="529" t="s">
        <v>7</v>
      </c>
      <c r="J227" s="427" t="s">
        <v>8</v>
      </c>
      <c r="K227" s="428"/>
      <c r="L227" s="428"/>
      <c r="M227" s="429"/>
      <c r="N227" s="530" t="s">
        <v>9</v>
      </c>
      <c r="O227" s="440"/>
      <c r="P227" s="440"/>
      <c r="Q227" s="441"/>
      <c r="R227" s="1"/>
      <c r="S227" s="1"/>
    </row>
    <row r="228" spans="1:19" s="354" customFormat="1" ht="25.5" customHeight="1" x14ac:dyDescent="0.25">
      <c r="A228" s="527"/>
      <c r="B228" s="769"/>
      <c r="C228" s="770"/>
      <c r="D228" s="771"/>
      <c r="E228" s="69"/>
      <c r="F228" s="33" t="s">
        <v>10</v>
      </c>
      <c r="G228" s="33" t="s">
        <v>11</v>
      </c>
      <c r="H228" s="33" t="s">
        <v>12</v>
      </c>
      <c r="I228" s="527"/>
      <c r="J228" s="34" t="s">
        <v>13</v>
      </c>
      <c r="K228" s="34" t="s">
        <v>14</v>
      </c>
      <c r="L228" s="34" t="s">
        <v>15</v>
      </c>
      <c r="M228" s="345" t="s">
        <v>16</v>
      </c>
      <c r="N228" s="36" t="s">
        <v>17</v>
      </c>
      <c r="O228" s="34" t="s">
        <v>18</v>
      </c>
      <c r="P228" s="34" t="s">
        <v>19</v>
      </c>
      <c r="Q228" s="345" t="s">
        <v>20</v>
      </c>
      <c r="R228" s="1"/>
      <c r="S228" s="1"/>
    </row>
    <row r="229" spans="1:19" s="354" customFormat="1" ht="15.75" customHeight="1" x14ac:dyDescent="0.25">
      <c r="A229" s="9">
        <v>1</v>
      </c>
      <c r="B229" s="532">
        <v>2</v>
      </c>
      <c r="C229" s="440"/>
      <c r="D229" s="441"/>
      <c r="E229" s="57">
        <v>3</v>
      </c>
      <c r="F229" s="57">
        <v>4</v>
      </c>
      <c r="G229" s="57">
        <v>5</v>
      </c>
      <c r="H229" s="57">
        <v>6</v>
      </c>
      <c r="I229" s="58">
        <v>7</v>
      </c>
      <c r="J229" s="57">
        <v>8</v>
      </c>
      <c r="K229" s="57">
        <v>9</v>
      </c>
      <c r="L229" s="57">
        <v>10</v>
      </c>
      <c r="M229" s="59">
        <v>11</v>
      </c>
      <c r="N229" s="57">
        <v>12</v>
      </c>
      <c r="O229" s="57">
        <v>13</v>
      </c>
      <c r="P229" s="57">
        <v>14</v>
      </c>
      <c r="Q229" s="60">
        <v>15</v>
      </c>
      <c r="R229" s="1"/>
      <c r="S229" s="1"/>
    </row>
    <row r="230" spans="1:19" s="354" customFormat="1" ht="15.75" customHeight="1" x14ac:dyDescent="0.25">
      <c r="A230" s="38"/>
      <c r="B230" s="522" t="s">
        <v>21</v>
      </c>
      <c r="C230" s="446"/>
      <c r="D230" s="447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"/>
      <c r="S230" s="1"/>
    </row>
    <row r="231" spans="1:19" s="354" customFormat="1" ht="15.75" customHeight="1" x14ac:dyDescent="0.25">
      <c r="A231" s="74">
        <v>2</v>
      </c>
      <c r="B231" s="436" t="s">
        <v>124</v>
      </c>
      <c r="C231" s="440"/>
      <c r="D231" s="441"/>
      <c r="E231" s="156" t="s">
        <v>201</v>
      </c>
      <c r="F231" s="348">
        <v>3.6</v>
      </c>
      <c r="G231" s="348">
        <v>7.65</v>
      </c>
      <c r="H231" s="348">
        <v>23.46</v>
      </c>
      <c r="I231" s="348">
        <v>177.1</v>
      </c>
      <c r="J231" s="348">
        <v>6.5000000000000002E-2</v>
      </c>
      <c r="K231" s="348">
        <v>0</v>
      </c>
      <c r="L231" s="348">
        <v>0</v>
      </c>
      <c r="M231" s="348">
        <v>0</v>
      </c>
      <c r="N231" s="348">
        <v>12.4</v>
      </c>
      <c r="O231" s="348">
        <v>36.4</v>
      </c>
      <c r="P231" s="348">
        <v>14.3</v>
      </c>
      <c r="Q231" s="348">
        <v>0.34</v>
      </c>
      <c r="R231" s="29"/>
      <c r="S231" s="29"/>
    </row>
    <row r="232" spans="1:19" s="354" customFormat="1" ht="15" customHeight="1" x14ac:dyDescent="0.25">
      <c r="A232" s="553">
        <v>204</v>
      </c>
      <c r="B232" s="554" t="s">
        <v>97</v>
      </c>
      <c r="C232" s="476"/>
      <c r="D232" s="477"/>
      <c r="E232" s="158">
        <v>200</v>
      </c>
      <c r="F232" s="533">
        <f>13.54*E232/200</f>
        <v>13.54</v>
      </c>
      <c r="G232" s="533">
        <f>15.3*E232/200</f>
        <v>15.3</v>
      </c>
      <c r="H232" s="533">
        <f>34.11*E232/200</f>
        <v>34.11</v>
      </c>
      <c r="I232" s="533">
        <f>328.3*E232/200</f>
        <v>328.3</v>
      </c>
      <c r="J232" s="533">
        <f>0*E232/200</f>
        <v>0</v>
      </c>
      <c r="K232" s="533">
        <f>0.22*E232/200</f>
        <v>0.22</v>
      </c>
      <c r="L232" s="533">
        <f>0*E232/200</f>
        <v>0</v>
      </c>
      <c r="M232" s="533">
        <f>0*E232/200</f>
        <v>0</v>
      </c>
      <c r="N232" s="533">
        <f>295.2*E232/200</f>
        <v>295.2</v>
      </c>
      <c r="O232" s="533">
        <f>0*E232/200</f>
        <v>0</v>
      </c>
      <c r="P232" s="533">
        <f>20.32*E232/200</f>
        <v>20.32</v>
      </c>
      <c r="Q232" s="533">
        <f>1.23*E232/200</f>
        <v>1.23</v>
      </c>
      <c r="R232" s="17"/>
      <c r="S232" s="17"/>
    </row>
    <row r="233" spans="1:19" s="354" customFormat="1" ht="12.75" customHeight="1" x14ac:dyDescent="0.25">
      <c r="A233" s="527"/>
      <c r="B233" s="478"/>
      <c r="C233" s="479"/>
      <c r="D233" s="480"/>
      <c r="E233" s="349">
        <f>E232*16/100</f>
        <v>32</v>
      </c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Q233" s="471"/>
      <c r="R233" s="29"/>
      <c r="S233" s="29"/>
    </row>
    <row r="234" spans="1:19" s="354" customFormat="1" ht="19.5" customHeight="1" x14ac:dyDescent="0.25">
      <c r="A234" s="54">
        <v>50</v>
      </c>
      <c r="B234" s="555" t="s">
        <v>96</v>
      </c>
      <c r="C234" s="440"/>
      <c r="D234" s="441"/>
      <c r="E234" s="348">
        <v>100</v>
      </c>
      <c r="F234" s="159">
        <f>1.7*E234/100</f>
        <v>1.7</v>
      </c>
      <c r="G234" s="159">
        <f>8.8*E234/100</f>
        <v>8.8000000000000007</v>
      </c>
      <c r="H234" s="159">
        <f>7.7*E234/100</f>
        <v>7.7</v>
      </c>
      <c r="I234" s="159">
        <f>116.8*E234/100</f>
        <v>116.8</v>
      </c>
      <c r="J234" s="159">
        <f>0*E234/100</f>
        <v>0</v>
      </c>
      <c r="K234" s="159">
        <f>8*E234/100</f>
        <v>8</v>
      </c>
      <c r="L234" s="159">
        <f>0*E234/100</f>
        <v>0</v>
      </c>
      <c r="M234" s="159">
        <f>0*E234/100</f>
        <v>0</v>
      </c>
      <c r="N234" s="159">
        <f>41*E234/100</f>
        <v>41</v>
      </c>
      <c r="O234" s="159">
        <f>0*E234/100</f>
        <v>0</v>
      </c>
      <c r="P234" s="159">
        <f>35*E234/100</f>
        <v>35</v>
      </c>
      <c r="Q234" s="159">
        <f>7*E234/100</f>
        <v>7</v>
      </c>
      <c r="R234" s="17"/>
      <c r="S234" s="17"/>
    </row>
    <row r="235" spans="1:19" s="354" customFormat="1" ht="15.75" customHeight="1" x14ac:dyDescent="0.25">
      <c r="A235" s="74">
        <v>382</v>
      </c>
      <c r="B235" s="439" t="s">
        <v>58</v>
      </c>
      <c r="C235" s="440"/>
      <c r="D235" s="441"/>
      <c r="E235" s="115">
        <v>200</v>
      </c>
      <c r="F235" s="115">
        <v>3.76</v>
      </c>
      <c r="G235" s="115">
        <v>3.2</v>
      </c>
      <c r="H235" s="115">
        <v>17.57</v>
      </c>
      <c r="I235" s="115">
        <v>114.12</v>
      </c>
      <c r="J235" s="115">
        <v>0</v>
      </c>
      <c r="K235" s="115">
        <v>1.58</v>
      </c>
      <c r="L235" s="115">
        <v>0</v>
      </c>
      <c r="M235" s="115">
        <v>0</v>
      </c>
      <c r="N235" s="115">
        <v>152.22</v>
      </c>
      <c r="O235" s="115">
        <v>0</v>
      </c>
      <c r="P235" s="115">
        <v>21.34</v>
      </c>
      <c r="Q235" s="115">
        <v>0.47</v>
      </c>
      <c r="R235" s="29"/>
      <c r="S235" s="29"/>
    </row>
    <row r="236" spans="1:19" s="354" customFormat="1" ht="15.75" customHeight="1" x14ac:dyDescent="0.25">
      <c r="A236" s="74">
        <v>209</v>
      </c>
      <c r="B236" s="439" t="s">
        <v>191</v>
      </c>
      <c r="C236" s="440"/>
      <c r="D236" s="441"/>
      <c r="E236" s="106" t="s">
        <v>202</v>
      </c>
      <c r="F236" s="106">
        <v>5.0999999999999996</v>
      </c>
      <c r="G236" s="106">
        <v>4.5999999999999996</v>
      </c>
      <c r="H236" s="106">
        <v>0.3</v>
      </c>
      <c r="I236" s="106">
        <v>63</v>
      </c>
      <c r="J236" s="106"/>
      <c r="K236" s="106"/>
      <c r="L236" s="106"/>
      <c r="M236" s="106"/>
      <c r="N236" s="106">
        <v>22</v>
      </c>
      <c r="O236" s="106"/>
      <c r="P236" s="106">
        <v>4.8</v>
      </c>
      <c r="Q236" s="106">
        <v>1</v>
      </c>
      <c r="R236" s="29"/>
      <c r="S236" s="29"/>
    </row>
    <row r="237" spans="1:19" s="354" customFormat="1" ht="15.75" customHeight="1" x14ac:dyDescent="0.25">
      <c r="A237" s="74"/>
      <c r="B237" s="442" t="s">
        <v>29</v>
      </c>
      <c r="C237" s="472"/>
      <c r="D237" s="473"/>
      <c r="E237" s="160">
        <f t="shared" ref="E237:Q237" si="37">SUM(E231:E236)</f>
        <v>532</v>
      </c>
      <c r="F237" s="106">
        <f t="shared" si="37"/>
        <v>27.700000000000003</v>
      </c>
      <c r="G237" s="106">
        <f t="shared" si="37"/>
        <v>39.550000000000004</v>
      </c>
      <c r="H237" s="106">
        <f t="shared" si="37"/>
        <v>83.14</v>
      </c>
      <c r="I237" s="106">
        <f t="shared" si="37"/>
        <v>799.31999999999994</v>
      </c>
      <c r="J237" s="106">
        <f t="shared" si="37"/>
        <v>6.5000000000000002E-2</v>
      </c>
      <c r="K237" s="106">
        <f t="shared" si="37"/>
        <v>9.8000000000000007</v>
      </c>
      <c r="L237" s="106">
        <f t="shared" si="37"/>
        <v>0</v>
      </c>
      <c r="M237" s="106">
        <f t="shared" si="37"/>
        <v>0</v>
      </c>
      <c r="N237" s="106">
        <f t="shared" si="37"/>
        <v>522.81999999999994</v>
      </c>
      <c r="O237" s="106">
        <f t="shared" si="37"/>
        <v>36.4</v>
      </c>
      <c r="P237" s="106">
        <f t="shared" si="37"/>
        <v>95.76</v>
      </c>
      <c r="Q237" s="106">
        <f t="shared" si="37"/>
        <v>10.040000000000001</v>
      </c>
      <c r="R237" s="29"/>
      <c r="S237" s="29"/>
    </row>
    <row r="238" spans="1:19" s="354" customFormat="1" ht="15.75" customHeight="1" x14ac:dyDescent="0.25">
      <c r="A238" s="38"/>
      <c r="B238" s="522" t="s">
        <v>30</v>
      </c>
      <c r="C238" s="446"/>
      <c r="D238" s="447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"/>
      <c r="S238" s="1"/>
    </row>
    <row r="239" spans="1:19" s="354" customFormat="1" ht="15.75" customHeight="1" x14ac:dyDescent="0.25">
      <c r="A239" s="74">
        <v>338</v>
      </c>
      <c r="B239" s="439" t="s">
        <v>31</v>
      </c>
      <c r="C239" s="440"/>
      <c r="D239" s="441"/>
      <c r="E239" s="133">
        <v>300</v>
      </c>
      <c r="F239" s="133">
        <v>1.2</v>
      </c>
      <c r="G239" s="134">
        <v>1.2</v>
      </c>
      <c r="H239" s="133">
        <v>29.4</v>
      </c>
      <c r="I239" s="133">
        <v>132</v>
      </c>
      <c r="J239" s="133">
        <v>0</v>
      </c>
      <c r="K239" s="133">
        <v>30</v>
      </c>
      <c r="L239" s="133">
        <v>0</v>
      </c>
      <c r="M239" s="133">
        <v>0</v>
      </c>
      <c r="N239" s="133">
        <v>48</v>
      </c>
      <c r="O239" s="133">
        <v>0</v>
      </c>
      <c r="P239" s="133">
        <v>27</v>
      </c>
      <c r="Q239" s="133">
        <v>6.6</v>
      </c>
      <c r="R239" s="1"/>
      <c r="S239" s="1"/>
    </row>
    <row r="240" spans="1:19" s="354" customFormat="1" ht="15.75" customHeight="1" x14ac:dyDescent="0.25">
      <c r="A240" s="74"/>
      <c r="B240" s="442" t="s">
        <v>32</v>
      </c>
      <c r="C240" s="472"/>
      <c r="D240" s="473"/>
      <c r="E240" s="106">
        <f>E239</f>
        <v>300</v>
      </c>
      <c r="F240" s="106">
        <f t="shared" ref="F240:Q240" si="38">SUM(F239)</f>
        <v>1.2</v>
      </c>
      <c r="G240" s="132">
        <f t="shared" si="38"/>
        <v>1.2</v>
      </c>
      <c r="H240" s="106">
        <f t="shared" si="38"/>
        <v>29.4</v>
      </c>
      <c r="I240" s="106">
        <f t="shared" si="38"/>
        <v>132</v>
      </c>
      <c r="J240" s="106">
        <f t="shared" si="38"/>
        <v>0</v>
      </c>
      <c r="K240" s="106">
        <f t="shared" si="38"/>
        <v>30</v>
      </c>
      <c r="L240" s="106">
        <f t="shared" si="38"/>
        <v>0</v>
      </c>
      <c r="M240" s="106">
        <f t="shared" si="38"/>
        <v>0</v>
      </c>
      <c r="N240" s="106">
        <f t="shared" si="38"/>
        <v>48</v>
      </c>
      <c r="O240" s="106">
        <f t="shared" si="38"/>
        <v>0</v>
      </c>
      <c r="P240" s="106">
        <f t="shared" si="38"/>
        <v>27</v>
      </c>
      <c r="Q240" s="106">
        <f t="shared" si="38"/>
        <v>6.6</v>
      </c>
      <c r="R240" s="1"/>
      <c r="S240" s="1"/>
    </row>
    <row r="241" spans="1:19" s="354" customFormat="1" ht="15.75" customHeight="1" x14ac:dyDescent="0.25">
      <c r="A241" s="38"/>
      <c r="B241" s="522" t="s">
        <v>33</v>
      </c>
      <c r="C241" s="446"/>
      <c r="D241" s="447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"/>
      <c r="S241" s="1"/>
    </row>
    <row r="242" spans="1:19" s="354" customFormat="1" ht="15.75" customHeight="1" x14ac:dyDescent="0.25">
      <c r="A242" s="74">
        <v>71</v>
      </c>
      <c r="B242" s="436" t="s">
        <v>229</v>
      </c>
      <c r="C242" s="440"/>
      <c r="D242" s="441"/>
      <c r="E242" s="100">
        <v>50</v>
      </c>
      <c r="F242" s="117">
        <f>1.2*E242/100</f>
        <v>0.6</v>
      </c>
      <c r="G242" s="117">
        <f>0*E242/100</f>
        <v>0</v>
      </c>
      <c r="H242" s="117">
        <f>4.6*E242/100</f>
        <v>2.2999999999999998</v>
      </c>
      <c r="I242" s="117">
        <f>23.2*E242/100</f>
        <v>11.6</v>
      </c>
      <c r="J242" s="117">
        <f>0*E242/100</f>
        <v>0</v>
      </c>
      <c r="K242" s="117">
        <f>25*E242/100</f>
        <v>12.5</v>
      </c>
      <c r="L242" s="117">
        <v>0</v>
      </c>
      <c r="M242" s="117">
        <v>0</v>
      </c>
      <c r="N242" s="117">
        <f>14*E242/100</f>
        <v>7</v>
      </c>
      <c r="O242" s="117">
        <v>0</v>
      </c>
      <c r="P242" s="117">
        <f>9.34*E242/100</f>
        <v>4.67</v>
      </c>
      <c r="Q242" s="117">
        <f>0.9*E242/100</f>
        <v>0.45</v>
      </c>
      <c r="R242" s="17"/>
      <c r="S242" s="17"/>
    </row>
    <row r="243" spans="1:19" s="354" customFormat="1" ht="19.5" customHeight="1" x14ac:dyDescent="0.25">
      <c r="A243" s="741">
        <v>102</v>
      </c>
      <c r="B243" s="818" t="s">
        <v>81</v>
      </c>
      <c r="C243" s="476"/>
      <c r="D243" s="477"/>
      <c r="E243" s="743">
        <v>300</v>
      </c>
      <c r="F243" s="807">
        <v>6.58</v>
      </c>
      <c r="G243" s="807">
        <v>6.32</v>
      </c>
      <c r="H243" s="816">
        <v>19.84</v>
      </c>
      <c r="I243" s="807">
        <v>177.9</v>
      </c>
      <c r="J243" s="807">
        <v>0</v>
      </c>
      <c r="K243" s="807">
        <v>6.99</v>
      </c>
      <c r="L243" s="807">
        <v>0</v>
      </c>
      <c r="M243" s="807">
        <v>0</v>
      </c>
      <c r="N243" s="807">
        <v>51.21</v>
      </c>
      <c r="O243" s="807">
        <v>0</v>
      </c>
      <c r="P243" s="807">
        <v>42.69</v>
      </c>
      <c r="Q243" s="807">
        <v>2.46</v>
      </c>
      <c r="R243" s="18"/>
      <c r="S243" s="18"/>
    </row>
    <row r="244" spans="1:19" s="354" customFormat="1" ht="8.25" customHeight="1" x14ac:dyDescent="0.25">
      <c r="A244" s="742"/>
      <c r="B244" s="478"/>
      <c r="C244" s="479"/>
      <c r="D244" s="480"/>
      <c r="E244" s="744"/>
      <c r="F244" s="815"/>
      <c r="G244" s="815"/>
      <c r="H244" s="817"/>
      <c r="I244" s="815"/>
      <c r="J244" s="815"/>
      <c r="K244" s="815"/>
      <c r="L244" s="815"/>
      <c r="M244" s="815"/>
      <c r="N244" s="815"/>
      <c r="O244" s="815"/>
      <c r="P244" s="815"/>
      <c r="Q244" s="815"/>
      <c r="R244" s="18"/>
      <c r="S244" s="18"/>
    </row>
    <row r="245" spans="1:19" s="354" customFormat="1" ht="15.75" customHeight="1" x14ac:dyDescent="0.25">
      <c r="A245" s="551">
        <v>290</v>
      </c>
      <c r="B245" s="552" t="s">
        <v>69</v>
      </c>
      <c r="C245" s="476"/>
      <c r="D245" s="477"/>
      <c r="E245" s="162">
        <v>100</v>
      </c>
      <c r="F245" s="537">
        <f>23.56*E245/100</f>
        <v>23.56</v>
      </c>
      <c r="G245" s="537">
        <f>20.24*E245/100</f>
        <v>20.239999999999998</v>
      </c>
      <c r="H245" s="537">
        <f>5.86*E245/100</f>
        <v>5.86</v>
      </c>
      <c r="I245" s="537">
        <f>300*E245/100</f>
        <v>300</v>
      </c>
      <c r="J245" s="537">
        <f>0*E245/100</f>
        <v>0</v>
      </c>
      <c r="K245" s="537">
        <f>0.03*E245/100</f>
        <v>0.03</v>
      </c>
      <c r="L245" s="537">
        <f>0*E245/100</f>
        <v>0</v>
      </c>
      <c r="M245" s="537">
        <f>0*E245/100</f>
        <v>0</v>
      </c>
      <c r="N245" s="537">
        <f>90.8*E245/100</f>
        <v>90.8</v>
      </c>
      <c r="O245" s="537">
        <f>0*E245/100</f>
        <v>0</v>
      </c>
      <c r="P245" s="537">
        <f>33.83*E245/100</f>
        <v>33.83</v>
      </c>
      <c r="Q245" s="537">
        <f>2.7*E245/100</f>
        <v>2.7</v>
      </c>
      <c r="R245" s="29"/>
      <c r="S245" s="29"/>
    </row>
    <row r="246" spans="1:19" s="354" customFormat="1" ht="15.75" customHeight="1" x14ac:dyDescent="0.25">
      <c r="A246" s="527"/>
      <c r="B246" s="478"/>
      <c r="C246" s="479"/>
      <c r="D246" s="480"/>
      <c r="E246" s="162">
        <f>E245</f>
        <v>100</v>
      </c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Q246" s="471"/>
      <c r="R246" s="29"/>
      <c r="S246" s="29"/>
    </row>
    <row r="247" spans="1:19" s="354" customFormat="1" ht="15.75" customHeight="1" x14ac:dyDescent="0.25">
      <c r="A247" s="40">
        <v>312</v>
      </c>
      <c r="B247" s="439" t="s">
        <v>64</v>
      </c>
      <c r="C247" s="440"/>
      <c r="D247" s="441"/>
      <c r="E247" s="137">
        <v>200</v>
      </c>
      <c r="F247" s="117">
        <f>4.16*E247/200</f>
        <v>4.16</v>
      </c>
      <c r="G247" s="117">
        <f>6.8*E247/200</f>
        <v>6.8</v>
      </c>
      <c r="H247" s="117">
        <f>24.76*E247/200</f>
        <v>24.76</v>
      </c>
      <c r="I247" s="117">
        <f>176.88*E247/200</f>
        <v>176.88</v>
      </c>
      <c r="J247" s="117">
        <f>0*E247/200</f>
        <v>0</v>
      </c>
      <c r="K247" s="117">
        <f>23.7*E247/200</f>
        <v>23.7</v>
      </c>
      <c r="L247" s="117">
        <f>0*E247/200</f>
        <v>0</v>
      </c>
      <c r="M247" s="117">
        <f>0*E247/200</f>
        <v>0</v>
      </c>
      <c r="N247" s="117">
        <f>49.54*E247/200</f>
        <v>49.54</v>
      </c>
      <c r="O247" s="117">
        <f>0*E247/200</f>
        <v>0</v>
      </c>
      <c r="P247" s="117">
        <f>31.32*E247/200</f>
        <v>31.32</v>
      </c>
      <c r="Q247" s="117">
        <f>1.09*E247/200</f>
        <v>1.0900000000000001</v>
      </c>
      <c r="R247" s="29"/>
      <c r="S247" s="29"/>
    </row>
    <row r="248" spans="1:19" s="354" customFormat="1" ht="15.75" customHeight="1" x14ac:dyDescent="0.25">
      <c r="A248" s="74">
        <v>342</v>
      </c>
      <c r="B248" s="439" t="s">
        <v>38</v>
      </c>
      <c r="C248" s="440"/>
      <c r="D248" s="441"/>
      <c r="E248" s="100">
        <v>200</v>
      </c>
      <c r="F248" s="117">
        <v>0.45</v>
      </c>
      <c r="G248" s="117">
        <v>0</v>
      </c>
      <c r="H248" s="117">
        <v>23.84</v>
      </c>
      <c r="I248" s="117">
        <v>97.16</v>
      </c>
      <c r="J248" s="117">
        <v>3.0000000000000001E-3</v>
      </c>
      <c r="K248" s="117">
        <v>0.3</v>
      </c>
      <c r="L248" s="117">
        <v>0</v>
      </c>
      <c r="M248" s="117">
        <v>0</v>
      </c>
      <c r="N248" s="117">
        <v>16.95</v>
      </c>
      <c r="O248" s="117">
        <v>11.55</v>
      </c>
      <c r="P248" s="117">
        <v>9</v>
      </c>
      <c r="Q248" s="117">
        <v>2.7</v>
      </c>
      <c r="R248" s="29"/>
      <c r="S248" s="29"/>
    </row>
    <row r="249" spans="1:19" s="354" customFormat="1" ht="15.75" customHeight="1" x14ac:dyDescent="0.25">
      <c r="A249" s="74" t="s">
        <v>27</v>
      </c>
      <c r="B249" s="41" t="s">
        <v>39</v>
      </c>
      <c r="C249" s="41"/>
      <c r="D249" s="41"/>
      <c r="E249" s="99">
        <v>120</v>
      </c>
      <c r="F249" s="117">
        <f>4.03*E249/50</f>
        <v>9.6720000000000006</v>
      </c>
      <c r="G249" s="117">
        <f>0.5*E249/50</f>
        <v>1.2</v>
      </c>
      <c r="H249" s="117">
        <f>22.36*E249/50</f>
        <v>53.663999999999994</v>
      </c>
      <c r="I249" s="117">
        <f>98.86*E249/50</f>
        <v>237.26400000000001</v>
      </c>
      <c r="J249" s="117">
        <v>0</v>
      </c>
      <c r="K249" s="117">
        <v>0</v>
      </c>
      <c r="L249" s="117">
        <v>0</v>
      </c>
      <c r="M249" s="117">
        <v>0</v>
      </c>
      <c r="N249" s="117">
        <f>17.59*E249/50</f>
        <v>42.216000000000001</v>
      </c>
      <c r="O249" s="117">
        <v>0</v>
      </c>
      <c r="P249" s="117">
        <f>1.89*E249/50</f>
        <v>4.5359999999999996</v>
      </c>
      <c r="Q249" s="117">
        <f>0.88*E249/50</f>
        <v>2.1120000000000001</v>
      </c>
      <c r="R249" s="17"/>
      <c r="S249" s="17"/>
    </row>
    <row r="250" spans="1:19" s="354" customFormat="1" ht="15.75" customHeight="1" x14ac:dyDescent="0.25">
      <c r="A250" s="74" t="s">
        <v>27</v>
      </c>
      <c r="B250" s="439" t="s">
        <v>28</v>
      </c>
      <c r="C250" s="440"/>
      <c r="D250" s="441"/>
      <c r="E250" s="99">
        <v>45</v>
      </c>
      <c r="F250" s="117">
        <f>2.26*E250/30</f>
        <v>3.3899999999999997</v>
      </c>
      <c r="G250" s="117">
        <f>0.23*E250/30</f>
        <v>0.34499999999999997</v>
      </c>
      <c r="H250" s="117">
        <f>14.66*E250/30</f>
        <v>21.990000000000002</v>
      </c>
      <c r="I250" s="117">
        <f>68.86*E250/30</f>
        <v>103.28999999999999</v>
      </c>
      <c r="J250" s="117">
        <v>0</v>
      </c>
      <c r="K250" s="117">
        <v>0</v>
      </c>
      <c r="L250" s="117">
        <v>0</v>
      </c>
      <c r="M250" s="117">
        <v>0</v>
      </c>
      <c r="N250" s="117">
        <f>12.97*E250/30</f>
        <v>19.454999999999998</v>
      </c>
      <c r="O250" s="117">
        <v>0</v>
      </c>
      <c r="P250" s="117">
        <f>2.83*E250/30</f>
        <v>4.2450000000000001</v>
      </c>
      <c r="Q250" s="117">
        <f>0.74*E250/30</f>
        <v>1.1099999999999999</v>
      </c>
      <c r="R250" s="17"/>
      <c r="S250" s="17"/>
    </row>
    <row r="251" spans="1:19" s="354" customFormat="1" ht="15.75" customHeight="1" x14ac:dyDescent="0.25">
      <c r="A251" s="74"/>
      <c r="B251" s="442" t="s">
        <v>65</v>
      </c>
      <c r="C251" s="472"/>
      <c r="D251" s="473"/>
      <c r="E251" s="100">
        <f t="shared" ref="E251:Q251" si="39">SUM(E242:E250)</f>
        <v>1115</v>
      </c>
      <c r="F251" s="117">
        <f t="shared" si="39"/>
        <v>48.412000000000006</v>
      </c>
      <c r="G251" s="117">
        <f t="shared" si="39"/>
        <v>34.905000000000001</v>
      </c>
      <c r="H251" s="117">
        <f t="shared" si="39"/>
        <v>152.25400000000002</v>
      </c>
      <c r="I251" s="117">
        <f t="shared" si="39"/>
        <v>1104.0940000000001</v>
      </c>
      <c r="J251" s="117">
        <f t="shared" si="39"/>
        <v>3.0000000000000001E-3</v>
      </c>
      <c r="K251" s="117">
        <f t="shared" si="39"/>
        <v>43.519999999999996</v>
      </c>
      <c r="L251" s="117">
        <f t="shared" si="39"/>
        <v>0</v>
      </c>
      <c r="M251" s="117">
        <f t="shared" si="39"/>
        <v>0</v>
      </c>
      <c r="N251" s="117">
        <f t="shared" si="39"/>
        <v>277.17099999999994</v>
      </c>
      <c r="O251" s="117">
        <f t="shared" si="39"/>
        <v>11.55</v>
      </c>
      <c r="P251" s="117">
        <f t="shared" si="39"/>
        <v>130.291</v>
      </c>
      <c r="Q251" s="117">
        <f t="shared" si="39"/>
        <v>12.622</v>
      </c>
      <c r="R251" s="29"/>
      <c r="S251" s="29"/>
    </row>
    <row r="252" spans="1:19" s="354" customFormat="1" ht="15.75" customHeight="1" x14ac:dyDescent="0.25">
      <c r="A252" s="75"/>
      <c r="B252" s="445" t="s">
        <v>41</v>
      </c>
      <c r="C252" s="446"/>
      <c r="D252" s="447"/>
      <c r="E252" s="125"/>
      <c r="F252" s="163"/>
      <c r="G252" s="125"/>
      <c r="H252" s="125"/>
      <c r="I252" s="106"/>
      <c r="J252" s="106"/>
      <c r="K252" s="125"/>
      <c r="L252" s="163"/>
      <c r="M252" s="125"/>
      <c r="N252" s="163"/>
      <c r="O252" s="125"/>
      <c r="P252" s="163"/>
      <c r="Q252" s="125"/>
      <c r="R252" s="1"/>
      <c r="S252" s="1"/>
    </row>
    <row r="253" spans="1:19" s="354" customFormat="1" ht="15.75" customHeight="1" x14ac:dyDescent="0.25">
      <c r="A253" s="74" t="s">
        <v>27</v>
      </c>
      <c r="B253" s="436" t="s">
        <v>221</v>
      </c>
      <c r="C253" s="440"/>
      <c r="D253" s="441"/>
      <c r="E253" s="102">
        <v>30</v>
      </c>
      <c r="F253" s="102">
        <v>1.25</v>
      </c>
      <c r="G253" s="102">
        <v>1.48</v>
      </c>
      <c r="H253" s="102">
        <v>34.89</v>
      </c>
      <c r="I253" s="102">
        <v>160.75</v>
      </c>
      <c r="J253" s="102">
        <v>0</v>
      </c>
      <c r="K253" s="102">
        <v>0.1</v>
      </c>
      <c r="L253" s="102">
        <v>0</v>
      </c>
      <c r="M253" s="102">
        <v>0</v>
      </c>
      <c r="N253" s="102">
        <v>6.8</v>
      </c>
      <c r="O253" s="102">
        <v>0</v>
      </c>
      <c r="P253" s="102">
        <v>4.53</v>
      </c>
      <c r="Q253" s="102">
        <v>0.9</v>
      </c>
      <c r="R253" s="1"/>
      <c r="S253" s="1"/>
    </row>
    <row r="254" spans="1:19" s="354" customFormat="1" ht="15.75" customHeight="1" x14ac:dyDescent="0.25">
      <c r="A254" s="74">
        <v>382</v>
      </c>
      <c r="B254" s="439" t="s">
        <v>58</v>
      </c>
      <c r="C254" s="440"/>
      <c r="D254" s="441"/>
      <c r="E254" s="106">
        <v>200</v>
      </c>
      <c r="F254" s="117">
        <v>3.76</v>
      </c>
      <c r="G254" s="117">
        <v>3.2</v>
      </c>
      <c r="H254" s="117">
        <v>17.57</v>
      </c>
      <c r="I254" s="117">
        <v>114.12</v>
      </c>
      <c r="J254" s="117">
        <v>0</v>
      </c>
      <c r="K254" s="117">
        <v>1.58</v>
      </c>
      <c r="L254" s="117">
        <v>0</v>
      </c>
      <c r="M254" s="117">
        <v>0</v>
      </c>
      <c r="N254" s="117">
        <v>152.22</v>
      </c>
      <c r="O254" s="117">
        <v>0</v>
      </c>
      <c r="P254" s="117">
        <v>21.34</v>
      </c>
      <c r="Q254" s="117">
        <v>0.47</v>
      </c>
      <c r="R254" s="1"/>
      <c r="S254" s="1"/>
    </row>
    <row r="255" spans="1:19" s="354" customFormat="1" ht="15.75" customHeight="1" x14ac:dyDescent="0.25">
      <c r="A255" s="74"/>
      <c r="B255" s="442" t="s">
        <v>86</v>
      </c>
      <c r="C255" s="472"/>
      <c r="D255" s="473"/>
      <c r="E255" s="106">
        <f t="shared" ref="E255:Q255" si="40">SUM(E253:E254)</f>
        <v>230</v>
      </c>
      <c r="F255" s="106">
        <f t="shared" si="40"/>
        <v>5.01</v>
      </c>
      <c r="G255" s="106">
        <f t="shared" si="40"/>
        <v>4.68</v>
      </c>
      <c r="H255" s="106">
        <f t="shared" si="40"/>
        <v>52.46</v>
      </c>
      <c r="I255" s="106">
        <f t="shared" si="40"/>
        <v>274.87</v>
      </c>
      <c r="J255" s="106">
        <f t="shared" si="40"/>
        <v>0</v>
      </c>
      <c r="K255" s="106">
        <f t="shared" si="40"/>
        <v>1.6800000000000002</v>
      </c>
      <c r="L255" s="106">
        <f t="shared" si="40"/>
        <v>0</v>
      </c>
      <c r="M255" s="106">
        <f t="shared" si="40"/>
        <v>0</v>
      </c>
      <c r="N255" s="106">
        <f t="shared" si="40"/>
        <v>159.02000000000001</v>
      </c>
      <c r="O255" s="106">
        <f t="shared" si="40"/>
        <v>0</v>
      </c>
      <c r="P255" s="106">
        <f t="shared" si="40"/>
        <v>25.87</v>
      </c>
      <c r="Q255" s="106">
        <f t="shared" si="40"/>
        <v>1.37</v>
      </c>
      <c r="R255" s="1"/>
      <c r="S255" s="1"/>
    </row>
    <row r="256" spans="1:19" s="354" customFormat="1" ht="15.75" customHeight="1" x14ac:dyDescent="0.25">
      <c r="A256" s="38"/>
      <c r="B256" s="557" t="s">
        <v>44</v>
      </c>
      <c r="C256" s="558"/>
      <c r="D256" s="559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"/>
      <c r="S256" s="1"/>
    </row>
    <row r="257" spans="1:19" s="380" customFormat="1" ht="15.75" customHeight="1" x14ac:dyDescent="0.25">
      <c r="A257" s="381">
        <v>49</v>
      </c>
      <c r="B257" s="814" t="s">
        <v>223</v>
      </c>
      <c r="C257" s="784"/>
      <c r="D257" s="785"/>
      <c r="E257" s="382">
        <v>100</v>
      </c>
      <c r="F257" s="383">
        <v>2.59</v>
      </c>
      <c r="G257" s="383">
        <v>6.22</v>
      </c>
      <c r="H257" s="383">
        <v>22.14</v>
      </c>
      <c r="I257" s="383">
        <v>154.9</v>
      </c>
      <c r="J257" s="383">
        <f>0*E257/100</f>
        <v>0</v>
      </c>
      <c r="K257" s="383">
        <v>31.5</v>
      </c>
      <c r="L257" s="383">
        <v>0</v>
      </c>
      <c r="M257" s="383">
        <v>0</v>
      </c>
      <c r="N257" s="383">
        <v>31.96</v>
      </c>
      <c r="O257" s="383">
        <v>0</v>
      </c>
      <c r="P257" s="383">
        <v>18.41</v>
      </c>
      <c r="Q257" s="383">
        <v>0.96</v>
      </c>
      <c r="R257" s="379"/>
      <c r="S257" s="379"/>
    </row>
    <row r="258" spans="1:19" s="354" customFormat="1" ht="15.75" hidden="1" customHeight="1" x14ac:dyDescent="0.25">
      <c r="A258" s="74"/>
      <c r="B258" s="41"/>
      <c r="C258" s="41"/>
      <c r="D258" s="41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29"/>
      <c r="S258" s="29"/>
    </row>
    <row r="259" spans="1:19" s="354" customFormat="1" ht="15.75" customHeight="1" x14ac:dyDescent="0.25">
      <c r="A259" s="551">
        <v>259</v>
      </c>
      <c r="B259" s="539" t="s">
        <v>131</v>
      </c>
      <c r="C259" s="476"/>
      <c r="D259" s="477"/>
      <c r="E259" s="122">
        <v>120</v>
      </c>
      <c r="F259" s="470">
        <f>27.77*(E259+E260)/(100+200)</f>
        <v>33.324000000000005</v>
      </c>
      <c r="G259" s="470">
        <f>31.01*(E259+E260)/(100+200)</f>
        <v>37.212000000000003</v>
      </c>
      <c r="H259" s="470">
        <f>28.42*(E259+E260)/(100+200)</f>
        <v>34.103999999999999</v>
      </c>
      <c r="I259" s="470">
        <f>505.71*(E259+E260)/(100+200)</f>
        <v>606.85199999999998</v>
      </c>
      <c r="J259" s="470">
        <v>0</v>
      </c>
      <c r="K259" s="470">
        <f>11.58*(E259+E260)/(100+200)</f>
        <v>13.896000000000001</v>
      </c>
      <c r="L259" s="470">
        <v>0</v>
      </c>
      <c r="M259" s="470">
        <v>0</v>
      </c>
      <c r="N259" s="470">
        <f>52.3*(E259+E260)/(100+200)</f>
        <v>62.76</v>
      </c>
      <c r="O259" s="470">
        <v>0</v>
      </c>
      <c r="P259" s="470">
        <f>72.12*(E259+E260)/(100+200)</f>
        <v>86.543999999999997</v>
      </c>
      <c r="Q259" s="470">
        <f>6.6*(E259+E260)/(100+200)</f>
        <v>7.92</v>
      </c>
      <c r="R259" s="67"/>
      <c r="S259" s="29"/>
    </row>
    <row r="260" spans="1:19" s="354" customFormat="1" ht="15.75" customHeight="1" x14ac:dyDescent="0.25">
      <c r="A260" s="527"/>
      <c r="B260" s="478"/>
      <c r="C260" s="479"/>
      <c r="D260" s="480"/>
      <c r="E260" s="100">
        <f>E259*2</f>
        <v>240</v>
      </c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Q260" s="471"/>
      <c r="R260" s="29"/>
      <c r="S260" s="29"/>
    </row>
    <row r="261" spans="1:19" s="354" customFormat="1" ht="15.75" customHeight="1" x14ac:dyDescent="0.25">
      <c r="A261" s="74">
        <v>389</v>
      </c>
      <c r="B261" s="439" t="s">
        <v>188</v>
      </c>
      <c r="C261" s="440"/>
      <c r="D261" s="441"/>
      <c r="E261" s="100">
        <v>200</v>
      </c>
      <c r="F261" s="117">
        <v>1</v>
      </c>
      <c r="G261" s="117">
        <v>0</v>
      </c>
      <c r="H261" s="117">
        <v>20.2</v>
      </c>
      <c r="I261" s="117">
        <v>84.8</v>
      </c>
      <c r="J261" s="117">
        <v>0</v>
      </c>
      <c r="K261" s="117">
        <v>4</v>
      </c>
      <c r="L261" s="117">
        <v>0</v>
      </c>
      <c r="M261" s="117">
        <v>0</v>
      </c>
      <c r="N261" s="117">
        <v>14</v>
      </c>
      <c r="O261" s="117">
        <v>0</v>
      </c>
      <c r="P261" s="117">
        <v>8</v>
      </c>
      <c r="Q261" s="117">
        <v>2.8</v>
      </c>
      <c r="R261" s="29"/>
      <c r="S261" s="29"/>
    </row>
    <row r="262" spans="1:19" s="354" customFormat="1" ht="15.75" customHeight="1" x14ac:dyDescent="0.25">
      <c r="A262" s="74" t="s">
        <v>27</v>
      </c>
      <c r="B262" s="41" t="s">
        <v>39</v>
      </c>
      <c r="C262" s="41"/>
      <c r="D262" s="41"/>
      <c r="E262" s="99">
        <v>75</v>
      </c>
      <c r="F262" s="117">
        <f>4.03*E262/50</f>
        <v>6.0449999999999999</v>
      </c>
      <c r="G262" s="117">
        <f>0.5*E262/50</f>
        <v>0.75</v>
      </c>
      <c r="H262" s="117">
        <f>22.36*E262/50</f>
        <v>33.54</v>
      </c>
      <c r="I262" s="117">
        <f>98.86*E262/50</f>
        <v>148.29</v>
      </c>
      <c r="J262" s="117">
        <v>0</v>
      </c>
      <c r="K262" s="117">
        <v>0</v>
      </c>
      <c r="L262" s="117">
        <v>0</v>
      </c>
      <c r="M262" s="117">
        <v>0</v>
      </c>
      <c r="N262" s="117">
        <f>17.59*E262/50</f>
        <v>26.385000000000002</v>
      </c>
      <c r="O262" s="117">
        <v>0</v>
      </c>
      <c r="P262" s="117">
        <f>1.89*E262/50</f>
        <v>2.835</v>
      </c>
      <c r="Q262" s="117">
        <f>0.88*E262/50</f>
        <v>1.32</v>
      </c>
      <c r="R262" s="17"/>
      <c r="S262" s="17"/>
    </row>
    <row r="263" spans="1:19" s="354" customFormat="1" ht="15.75" customHeight="1" x14ac:dyDescent="0.25">
      <c r="A263" s="74" t="s">
        <v>27</v>
      </c>
      <c r="B263" s="439" t="s">
        <v>28</v>
      </c>
      <c r="C263" s="440"/>
      <c r="D263" s="441"/>
      <c r="E263" s="99">
        <v>45</v>
      </c>
      <c r="F263" s="117">
        <f>2.26*E263/30</f>
        <v>3.3899999999999997</v>
      </c>
      <c r="G263" s="117">
        <f>0.23*E263/30</f>
        <v>0.34499999999999997</v>
      </c>
      <c r="H263" s="117">
        <f>14.66*E263/30</f>
        <v>21.990000000000002</v>
      </c>
      <c r="I263" s="117">
        <f>68.86*E263/30</f>
        <v>103.28999999999999</v>
      </c>
      <c r="J263" s="117">
        <v>0</v>
      </c>
      <c r="K263" s="117">
        <v>0</v>
      </c>
      <c r="L263" s="117">
        <v>0</v>
      </c>
      <c r="M263" s="117">
        <v>0</v>
      </c>
      <c r="N263" s="117">
        <f>12.97*E263/30</f>
        <v>19.454999999999998</v>
      </c>
      <c r="O263" s="117">
        <v>0</v>
      </c>
      <c r="P263" s="117">
        <f>2.83*E263/30</f>
        <v>4.2450000000000001</v>
      </c>
      <c r="Q263" s="117">
        <f>0.74*E263/30</f>
        <v>1.1099999999999999</v>
      </c>
      <c r="R263" s="17"/>
      <c r="S263" s="17"/>
    </row>
    <row r="264" spans="1:19" s="354" customFormat="1" ht="15.75" customHeight="1" x14ac:dyDescent="0.25">
      <c r="A264" s="74"/>
      <c r="B264" s="442" t="s">
        <v>72</v>
      </c>
      <c r="C264" s="443"/>
      <c r="D264" s="444"/>
      <c r="E264" s="99">
        <f t="shared" ref="E264:Q264" si="41">SUM(E257:E263)</f>
        <v>780</v>
      </c>
      <c r="F264" s="117">
        <f t="shared" si="41"/>
        <v>46.349000000000004</v>
      </c>
      <c r="G264" s="117">
        <f t="shared" si="41"/>
        <v>44.527000000000001</v>
      </c>
      <c r="H264" s="117">
        <f t="shared" si="41"/>
        <v>131.97400000000002</v>
      </c>
      <c r="I264" s="117">
        <f t="shared" si="41"/>
        <v>1098.1319999999998</v>
      </c>
      <c r="J264" s="117">
        <f t="shared" si="41"/>
        <v>0</v>
      </c>
      <c r="K264" s="117">
        <f t="shared" si="41"/>
        <v>49.396000000000001</v>
      </c>
      <c r="L264" s="117">
        <f t="shared" si="41"/>
        <v>0</v>
      </c>
      <c r="M264" s="117">
        <f t="shared" si="41"/>
        <v>0</v>
      </c>
      <c r="N264" s="117">
        <f t="shared" si="41"/>
        <v>154.56</v>
      </c>
      <c r="O264" s="117">
        <f t="shared" si="41"/>
        <v>0</v>
      </c>
      <c r="P264" s="117">
        <f t="shared" si="41"/>
        <v>120.03399999999999</v>
      </c>
      <c r="Q264" s="117">
        <f t="shared" si="41"/>
        <v>14.11</v>
      </c>
      <c r="R264" s="29"/>
      <c r="S264" s="29"/>
    </row>
    <row r="265" spans="1:19" s="354" customFormat="1" ht="15.75" customHeight="1" x14ac:dyDescent="0.25">
      <c r="A265" s="38"/>
      <c r="B265" s="522" t="s">
        <v>149</v>
      </c>
      <c r="C265" s="446"/>
      <c r="D265" s="447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76"/>
      <c r="S265" s="1"/>
    </row>
    <row r="266" spans="1:19" s="354" customFormat="1" ht="34.5" customHeight="1" x14ac:dyDescent="0.25">
      <c r="A266" s="77">
        <v>386</v>
      </c>
      <c r="B266" s="482" t="s">
        <v>74</v>
      </c>
      <c r="C266" s="440"/>
      <c r="D266" s="441"/>
      <c r="E266" s="164">
        <v>200</v>
      </c>
      <c r="F266" s="165">
        <v>4.32</v>
      </c>
      <c r="G266" s="165">
        <v>2.5</v>
      </c>
      <c r="H266" s="165">
        <v>9.8800000000000008</v>
      </c>
      <c r="I266" s="165">
        <v>84.8</v>
      </c>
      <c r="J266" s="165">
        <v>0</v>
      </c>
      <c r="K266" s="165">
        <v>0</v>
      </c>
      <c r="L266" s="165">
        <v>0</v>
      </c>
      <c r="M266" s="165">
        <v>0</v>
      </c>
      <c r="N266" s="165">
        <v>120.96</v>
      </c>
      <c r="O266" s="165">
        <v>0</v>
      </c>
      <c r="P266" s="165">
        <v>14.11</v>
      </c>
      <c r="Q266" s="165">
        <v>0.1</v>
      </c>
      <c r="R266" s="29"/>
      <c r="S266" s="78"/>
    </row>
    <row r="267" spans="1:19" s="354" customFormat="1" ht="20.25" customHeight="1" x14ac:dyDescent="0.25">
      <c r="A267" s="74" t="s">
        <v>27</v>
      </c>
      <c r="B267" s="436" t="s">
        <v>221</v>
      </c>
      <c r="C267" s="440"/>
      <c r="D267" s="441"/>
      <c r="E267" s="102">
        <v>30</v>
      </c>
      <c r="F267" s="102">
        <v>2.82</v>
      </c>
      <c r="G267" s="102">
        <v>3.16</v>
      </c>
      <c r="H267" s="102">
        <v>29.96</v>
      </c>
      <c r="I267" s="102">
        <v>159.18</v>
      </c>
      <c r="J267" s="102">
        <v>0</v>
      </c>
      <c r="K267" s="102">
        <v>0.08</v>
      </c>
      <c r="L267" s="102">
        <v>0</v>
      </c>
      <c r="M267" s="102">
        <v>0</v>
      </c>
      <c r="N267" s="102">
        <v>8.1999999999999993</v>
      </c>
      <c r="O267" s="102">
        <v>0</v>
      </c>
      <c r="P267" s="102">
        <v>11.57</v>
      </c>
      <c r="Q267" s="102">
        <v>0.6</v>
      </c>
      <c r="R267" s="29"/>
      <c r="S267" s="29"/>
    </row>
    <row r="268" spans="1:19" s="354" customFormat="1" ht="18" customHeight="1" x14ac:dyDescent="0.25">
      <c r="A268" s="74"/>
      <c r="B268" s="442" t="s">
        <v>52</v>
      </c>
      <c r="C268" s="472"/>
      <c r="D268" s="473"/>
      <c r="E268" s="32">
        <f t="shared" ref="E268:Q268" si="42">SUM(E266:E267)</f>
        <v>230</v>
      </c>
      <c r="F268" s="22">
        <f t="shared" si="42"/>
        <v>7.1400000000000006</v>
      </c>
      <c r="G268" s="22">
        <f t="shared" si="42"/>
        <v>5.66</v>
      </c>
      <c r="H268" s="22">
        <f t="shared" si="42"/>
        <v>39.840000000000003</v>
      </c>
      <c r="I268" s="22">
        <f t="shared" si="42"/>
        <v>243.98000000000002</v>
      </c>
      <c r="J268" s="22">
        <f t="shared" si="42"/>
        <v>0</v>
      </c>
      <c r="K268" s="22">
        <f t="shared" si="42"/>
        <v>0.08</v>
      </c>
      <c r="L268" s="22">
        <f t="shared" si="42"/>
        <v>0</v>
      </c>
      <c r="M268" s="22">
        <f t="shared" si="42"/>
        <v>0</v>
      </c>
      <c r="N268" s="22">
        <f t="shared" si="42"/>
        <v>129.16</v>
      </c>
      <c r="O268" s="22">
        <f t="shared" si="42"/>
        <v>0</v>
      </c>
      <c r="P268" s="22">
        <f t="shared" si="42"/>
        <v>25.68</v>
      </c>
      <c r="Q268" s="22">
        <f t="shared" si="42"/>
        <v>0.7</v>
      </c>
      <c r="R268" s="17"/>
      <c r="S268" s="17"/>
    </row>
    <row r="269" spans="1:19" s="354" customFormat="1" ht="18" customHeight="1" x14ac:dyDescent="0.25">
      <c r="A269" s="74"/>
      <c r="B269" s="436" t="s">
        <v>53</v>
      </c>
      <c r="C269" s="437"/>
      <c r="D269" s="438"/>
      <c r="E269" s="91">
        <v>8</v>
      </c>
      <c r="F269" s="144"/>
      <c r="G269" s="144"/>
      <c r="H269" s="144"/>
      <c r="I269" s="144"/>
      <c r="J269" s="144"/>
      <c r="K269" s="144"/>
      <c r="L269" s="144"/>
      <c r="M269" s="144"/>
      <c r="N269" s="144">
        <v>29.44</v>
      </c>
      <c r="O269" s="144"/>
      <c r="P269" s="144">
        <v>1.76</v>
      </c>
      <c r="Q269" s="144">
        <v>0.23</v>
      </c>
      <c r="R269" s="221"/>
      <c r="S269" s="221"/>
    </row>
    <row r="270" spans="1:19" s="354" customFormat="1" ht="15.75" customHeight="1" x14ac:dyDescent="0.25">
      <c r="A270" s="74"/>
      <c r="B270" s="422" t="s">
        <v>134</v>
      </c>
      <c r="C270" s="423"/>
      <c r="D270" s="424"/>
      <c r="E270" s="27">
        <f t="shared" ref="E270:M270" si="43">SUM(E237,E240,E251,E255,E264,E268)</f>
        <v>3187</v>
      </c>
      <c r="F270" s="22">
        <f t="shared" si="43"/>
        <v>135.81100000000004</v>
      </c>
      <c r="G270" s="22">
        <f t="shared" si="43"/>
        <v>130.52200000000002</v>
      </c>
      <c r="H270" s="22">
        <f t="shared" si="43"/>
        <v>489.06799999999998</v>
      </c>
      <c r="I270" s="22">
        <f t="shared" si="43"/>
        <v>3652.3960000000002</v>
      </c>
      <c r="J270" s="22">
        <f t="shared" si="43"/>
        <v>6.8000000000000005E-2</v>
      </c>
      <c r="K270" s="22">
        <f t="shared" si="43"/>
        <v>134.47600000000003</v>
      </c>
      <c r="L270" s="22">
        <f t="shared" si="43"/>
        <v>0</v>
      </c>
      <c r="M270" s="22">
        <f t="shared" si="43"/>
        <v>0</v>
      </c>
      <c r="N270" s="22">
        <f>SUM(N237,N240,N251,N255,N264,N268,N269)</f>
        <v>1320.171</v>
      </c>
      <c r="O270" s="22">
        <f>SUM(O237,O240,O251,O255,O264,O268)</f>
        <v>47.95</v>
      </c>
      <c r="P270" s="22">
        <f>SUM(P237,P240,P251,P255,P264,P268)</f>
        <v>424.63499999999999</v>
      </c>
      <c r="Q270" s="22">
        <f>SUM(Q237,Q240,Q251,Q255,Q264,Q268)</f>
        <v>45.442000000000007</v>
      </c>
      <c r="R270" s="29"/>
      <c r="S270" s="29"/>
    </row>
    <row r="271" spans="1:19" s="354" customFormat="1" ht="10.5" customHeight="1" x14ac:dyDescent="0.25">
      <c r="A271" s="355"/>
      <c r="B271" s="43"/>
      <c r="C271" s="43"/>
      <c r="D271" s="43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64"/>
      <c r="S271" s="1"/>
    </row>
    <row r="272" spans="1:19" s="354" customFormat="1" ht="12" customHeight="1" x14ac:dyDescent="0.25">
      <c r="A272" s="523" t="s">
        <v>135</v>
      </c>
      <c r="B272" s="524"/>
      <c r="C272" s="524"/>
      <c r="D272" s="524"/>
      <c r="E272" s="524"/>
      <c r="F272" s="524"/>
      <c r="G272" s="524"/>
      <c r="H272" s="524"/>
      <c r="I272" s="524"/>
      <c r="J272" s="524"/>
      <c r="K272" s="524"/>
      <c r="L272" s="524"/>
      <c r="M272" s="524"/>
      <c r="N272" s="524"/>
      <c r="O272" s="524"/>
      <c r="P272" s="524"/>
      <c r="Q272" s="524"/>
      <c r="R272" s="525"/>
      <c r="S272" s="1"/>
    </row>
    <row r="273" spans="1:19" s="354" customFormat="1" ht="29.25" customHeight="1" x14ac:dyDescent="0.25">
      <c r="A273" s="526" t="s">
        <v>3</v>
      </c>
      <c r="B273" s="766" t="s">
        <v>4</v>
      </c>
      <c r="C273" s="767"/>
      <c r="D273" s="768"/>
      <c r="E273" s="529" t="s">
        <v>5</v>
      </c>
      <c r="F273" s="530" t="s">
        <v>6</v>
      </c>
      <c r="G273" s="440"/>
      <c r="H273" s="441"/>
      <c r="I273" s="529" t="s">
        <v>7</v>
      </c>
      <c r="J273" s="530" t="s">
        <v>8</v>
      </c>
      <c r="K273" s="440"/>
      <c r="L273" s="440"/>
      <c r="M273" s="441"/>
      <c r="N273" s="530" t="s">
        <v>9</v>
      </c>
      <c r="O273" s="440"/>
      <c r="P273" s="440"/>
      <c r="Q273" s="441"/>
      <c r="R273" s="1"/>
      <c r="S273" s="1"/>
    </row>
    <row r="274" spans="1:19" s="354" customFormat="1" ht="15.75" customHeight="1" x14ac:dyDescent="0.25">
      <c r="A274" s="527"/>
      <c r="B274" s="769"/>
      <c r="C274" s="770"/>
      <c r="D274" s="771"/>
      <c r="E274" s="527"/>
      <c r="F274" s="33" t="s">
        <v>10</v>
      </c>
      <c r="G274" s="33" t="s">
        <v>11</v>
      </c>
      <c r="H274" s="33" t="s">
        <v>12</v>
      </c>
      <c r="I274" s="527"/>
      <c r="J274" s="34" t="s">
        <v>13</v>
      </c>
      <c r="K274" s="34" t="s">
        <v>14</v>
      </c>
      <c r="L274" s="34" t="s">
        <v>15</v>
      </c>
      <c r="M274" s="345" t="s">
        <v>16</v>
      </c>
      <c r="N274" s="36" t="s">
        <v>17</v>
      </c>
      <c r="O274" s="34" t="s">
        <v>18</v>
      </c>
      <c r="P274" s="34" t="s">
        <v>19</v>
      </c>
      <c r="Q274" s="345" t="s">
        <v>20</v>
      </c>
      <c r="R274" s="1"/>
      <c r="S274" s="1"/>
    </row>
    <row r="275" spans="1:19" s="354" customFormat="1" ht="15.75" customHeight="1" x14ac:dyDescent="0.25">
      <c r="A275" s="220">
        <v>1</v>
      </c>
      <c r="B275" s="532">
        <v>2</v>
      </c>
      <c r="C275" s="440"/>
      <c r="D275" s="441"/>
      <c r="E275" s="57">
        <v>3</v>
      </c>
      <c r="F275" s="57">
        <v>4</v>
      </c>
      <c r="G275" s="57">
        <v>5</v>
      </c>
      <c r="H275" s="57">
        <v>6</v>
      </c>
      <c r="I275" s="58">
        <v>7</v>
      </c>
      <c r="J275" s="57">
        <v>8</v>
      </c>
      <c r="K275" s="57">
        <v>9</v>
      </c>
      <c r="L275" s="57">
        <v>10</v>
      </c>
      <c r="M275" s="59">
        <v>11</v>
      </c>
      <c r="N275" s="57">
        <v>12</v>
      </c>
      <c r="O275" s="57">
        <v>13</v>
      </c>
      <c r="P275" s="57">
        <v>14</v>
      </c>
      <c r="Q275" s="60">
        <v>15</v>
      </c>
      <c r="R275" s="1"/>
      <c r="S275" s="1"/>
    </row>
    <row r="276" spans="1:19" s="354" customFormat="1" ht="15.75" customHeight="1" x14ac:dyDescent="0.25">
      <c r="A276" s="201"/>
      <c r="B276" s="522" t="s">
        <v>21</v>
      </c>
      <c r="C276" s="446"/>
      <c r="D276" s="447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"/>
      <c r="S276" s="1"/>
    </row>
    <row r="277" spans="1:19" s="354" customFormat="1" ht="15.75" customHeight="1" x14ac:dyDescent="0.25">
      <c r="A277" s="106">
        <v>3</v>
      </c>
      <c r="B277" s="439" t="s">
        <v>56</v>
      </c>
      <c r="C277" s="440"/>
      <c r="D277" s="441"/>
      <c r="E277" s="228" t="s">
        <v>23</v>
      </c>
      <c r="F277" s="129">
        <v>5.8</v>
      </c>
      <c r="G277" s="129">
        <v>8.3000000000000007</v>
      </c>
      <c r="H277" s="129">
        <v>14.83</v>
      </c>
      <c r="I277" s="129">
        <v>157</v>
      </c>
      <c r="J277" s="129">
        <v>0.04</v>
      </c>
      <c r="K277" s="129">
        <v>0.04</v>
      </c>
      <c r="L277" s="129">
        <v>0.03</v>
      </c>
      <c r="M277" s="129">
        <v>0.11</v>
      </c>
      <c r="N277" s="129">
        <v>139.19999999999999</v>
      </c>
      <c r="O277" s="129">
        <v>9.4499999999999993</v>
      </c>
      <c r="P277" s="129">
        <v>96</v>
      </c>
      <c r="Q277" s="129">
        <v>0.49</v>
      </c>
      <c r="R277" s="39"/>
      <c r="S277" s="29"/>
    </row>
    <row r="278" spans="1:19" s="354" customFormat="1" ht="14.25" customHeight="1" x14ac:dyDescent="0.25">
      <c r="A278" s="470">
        <v>174</v>
      </c>
      <c r="B278" s="542" t="s">
        <v>207</v>
      </c>
      <c r="C278" s="476"/>
      <c r="D278" s="477"/>
      <c r="E278" s="106">
        <v>200</v>
      </c>
      <c r="F278" s="470">
        <f>3.09*(E278+E279)/(200+5)</f>
        <v>3.09</v>
      </c>
      <c r="G278" s="470">
        <f>4.07*(E278+E279)/(200+5)</f>
        <v>4.07</v>
      </c>
      <c r="H278" s="470">
        <f>32.09*(E278+E279)/(200+5)</f>
        <v>32.090000000000003</v>
      </c>
      <c r="I278" s="470">
        <f>177*(E278+E279)/(200+5)</f>
        <v>177</v>
      </c>
      <c r="J278" s="470">
        <v>0</v>
      </c>
      <c r="K278" s="470">
        <v>0</v>
      </c>
      <c r="L278" s="470">
        <v>0</v>
      </c>
      <c r="M278" s="470">
        <v>0</v>
      </c>
      <c r="N278" s="470">
        <f>139.2*(E278+E279)/(200+5)</f>
        <v>139.19999999999999</v>
      </c>
      <c r="O278" s="470">
        <v>0</v>
      </c>
      <c r="P278" s="470">
        <f>21.8*(E278+E279)/(200+5)</f>
        <v>21.8</v>
      </c>
      <c r="Q278" s="470">
        <f>0.45*(E278+E279)/(200+5)</f>
        <v>0.45</v>
      </c>
      <c r="R278" s="17"/>
      <c r="S278" s="17"/>
    </row>
    <row r="279" spans="1:19" s="354" customFormat="1" ht="12.75" customHeight="1" x14ac:dyDescent="0.25">
      <c r="A279" s="471"/>
      <c r="B279" s="478"/>
      <c r="C279" s="479"/>
      <c r="D279" s="480"/>
      <c r="E279" s="106">
        <f>E278*2.5/100</f>
        <v>5</v>
      </c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Q279" s="471"/>
      <c r="R279" s="17"/>
      <c r="S279" s="17"/>
    </row>
    <row r="280" spans="1:19" s="354" customFormat="1" ht="15.75" customHeight="1" x14ac:dyDescent="0.25">
      <c r="A280" s="106">
        <v>209</v>
      </c>
      <c r="B280" s="433" t="s">
        <v>191</v>
      </c>
      <c r="C280" s="812"/>
      <c r="D280" s="813"/>
      <c r="E280" s="106" t="s">
        <v>202</v>
      </c>
      <c r="F280" s="106">
        <v>5.0999999999999996</v>
      </c>
      <c r="G280" s="106">
        <v>4.5999999999999996</v>
      </c>
      <c r="H280" s="106">
        <v>0.3</v>
      </c>
      <c r="I280" s="106">
        <v>63</v>
      </c>
      <c r="J280" s="106"/>
      <c r="K280" s="106"/>
      <c r="L280" s="106"/>
      <c r="M280" s="106"/>
      <c r="N280" s="106">
        <v>22</v>
      </c>
      <c r="O280" s="106"/>
      <c r="P280" s="106">
        <v>4.8</v>
      </c>
      <c r="Q280" s="106">
        <v>1</v>
      </c>
      <c r="R280" s="79"/>
      <c r="S280" s="79"/>
    </row>
    <row r="281" spans="1:19" s="354" customFormat="1" ht="15.75" customHeight="1" x14ac:dyDescent="0.25">
      <c r="A281" s="106">
        <v>375</v>
      </c>
      <c r="B281" s="439" t="s">
        <v>111</v>
      </c>
      <c r="C281" s="440"/>
      <c r="D281" s="441"/>
      <c r="E281" s="106" t="s">
        <v>158</v>
      </c>
      <c r="F281" s="106">
        <v>1.52</v>
      </c>
      <c r="G281" s="106">
        <v>1.35</v>
      </c>
      <c r="H281" s="106">
        <v>15.9</v>
      </c>
      <c r="I281" s="106">
        <v>81</v>
      </c>
      <c r="J281" s="106">
        <v>0</v>
      </c>
      <c r="K281" s="106">
        <v>1.33</v>
      </c>
      <c r="L281" s="106">
        <v>0</v>
      </c>
      <c r="M281" s="106">
        <v>0</v>
      </c>
      <c r="N281" s="106">
        <v>126.6</v>
      </c>
      <c r="O281" s="106">
        <v>0</v>
      </c>
      <c r="P281" s="106">
        <v>15.4</v>
      </c>
      <c r="Q281" s="106">
        <v>0.41</v>
      </c>
      <c r="R281" s="29"/>
      <c r="S281" s="29"/>
    </row>
    <row r="282" spans="1:19" s="354" customFormat="1" ht="15.75" customHeight="1" x14ac:dyDescent="0.25">
      <c r="A282" s="106" t="s">
        <v>27</v>
      </c>
      <c r="B282" s="439" t="s">
        <v>28</v>
      </c>
      <c r="C282" s="440"/>
      <c r="D282" s="441"/>
      <c r="E282" s="99">
        <v>45</v>
      </c>
      <c r="F282" s="117">
        <f>2.26*E282/30</f>
        <v>3.3899999999999997</v>
      </c>
      <c r="G282" s="117">
        <f>0.23*E282/30</f>
        <v>0.34499999999999997</v>
      </c>
      <c r="H282" s="117">
        <f>14.66*E282/30</f>
        <v>21.990000000000002</v>
      </c>
      <c r="I282" s="117">
        <f>68.86*E282/30</f>
        <v>103.28999999999999</v>
      </c>
      <c r="J282" s="117">
        <v>0</v>
      </c>
      <c r="K282" s="117">
        <v>0</v>
      </c>
      <c r="L282" s="117">
        <v>0</v>
      </c>
      <c r="M282" s="117">
        <v>0</v>
      </c>
      <c r="N282" s="117">
        <f>12.97*E282/30</f>
        <v>19.454999999999998</v>
      </c>
      <c r="O282" s="117">
        <v>0</v>
      </c>
      <c r="P282" s="117">
        <f>2.83*E282/30</f>
        <v>4.2450000000000001</v>
      </c>
      <c r="Q282" s="117">
        <f>0.74*E282/30</f>
        <v>1.1099999999999999</v>
      </c>
      <c r="R282" s="17"/>
      <c r="S282" s="17"/>
    </row>
    <row r="283" spans="1:19" s="354" customFormat="1" ht="15.75" customHeight="1" x14ac:dyDescent="0.25">
      <c r="A283" s="106"/>
      <c r="B283" s="442" t="s">
        <v>29</v>
      </c>
      <c r="C283" s="472"/>
      <c r="D283" s="473"/>
      <c r="E283" s="99">
        <f>SUM(E277:E282)+5+15+30+150+50+15</f>
        <v>515</v>
      </c>
      <c r="F283" s="117">
        <f t="shared" ref="F283:Q283" si="44">SUM(F277:F282)</f>
        <v>18.899999999999999</v>
      </c>
      <c r="G283" s="117">
        <f t="shared" si="44"/>
        <v>18.664999999999999</v>
      </c>
      <c r="H283" s="117">
        <f t="shared" si="44"/>
        <v>85.11</v>
      </c>
      <c r="I283" s="117">
        <f t="shared" si="44"/>
        <v>581.29</v>
      </c>
      <c r="J283" s="117">
        <f t="shared" si="44"/>
        <v>0.04</v>
      </c>
      <c r="K283" s="117">
        <f t="shared" si="44"/>
        <v>1.37</v>
      </c>
      <c r="L283" s="117">
        <f t="shared" si="44"/>
        <v>0.03</v>
      </c>
      <c r="M283" s="117">
        <f t="shared" si="44"/>
        <v>0.11</v>
      </c>
      <c r="N283" s="117">
        <f t="shared" si="44"/>
        <v>446.45499999999998</v>
      </c>
      <c r="O283" s="117">
        <f t="shared" si="44"/>
        <v>9.4499999999999993</v>
      </c>
      <c r="P283" s="117">
        <f t="shared" si="44"/>
        <v>142.245</v>
      </c>
      <c r="Q283" s="117">
        <f t="shared" si="44"/>
        <v>3.46</v>
      </c>
      <c r="R283" s="29"/>
      <c r="S283" s="29"/>
    </row>
    <row r="284" spans="1:19" s="354" customFormat="1" ht="15.75" customHeight="1" x14ac:dyDescent="0.25">
      <c r="A284" s="201"/>
      <c r="B284" s="522" t="s">
        <v>30</v>
      </c>
      <c r="C284" s="446"/>
      <c r="D284" s="447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"/>
      <c r="S284" s="1"/>
    </row>
    <row r="285" spans="1:19" s="354" customFormat="1" ht="15.75" customHeight="1" x14ac:dyDescent="0.25">
      <c r="A285" s="106">
        <v>338</v>
      </c>
      <c r="B285" s="439" t="s">
        <v>31</v>
      </c>
      <c r="C285" s="440"/>
      <c r="D285" s="441"/>
      <c r="E285" s="133">
        <v>300</v>
      </c>
      <c r="F285" s="133">
        <v>4.5</v>
      </c>
      <c r="G285" s="134">
        <v>1.5</v>
      </c>
      <c r="H285" s="133">
        <v>27</v>
      </c>
      <c r="I285" s="133">
        <v>285</v>
      </c>
      <c r="J285" s="133">
        <v>0</v>
      </c>
      <c r="K285" s="133">
        <v>30</v>
      </c>
      <c r="L285" s="133">
        <v>0</v>
      </c>
      <c r="M285" s="133">
        <v>0</v>
      </c>
      <c r="N285" s="133">
        <v>24</v>
      </c>
      <c r="O285" s="133">
        <v>0</v>
      </c>
      <c r="P285" s="133">
        <v>126</v>
      </c>
      <c r="Q285" s="133">
        <v>2.1</v>
      </c>
      <c r="R285" s="1"/>
      <c r="S285" s="1"/>
    </row>
    <row r="286" spans="1:19" s="354" customFormat="1" ht="15.75" customHeight="1" x14ac:dyDescent="0.25">
      <c r="A286" s="350"/>
      <c r="B286" s="422" t="s">
        <v>32</v>
      </c>
      <c r="C286" s="423"/>
      <c r="D286" s="424"/>
      <c r="E286" s="350">
        <f>E285</f>
        <v>300</v>
      </c>
      <c r="F286" s="350">
        <f t="shared" ref="F286:Q286" si="45">SUM(F285)</f>
        <v>4.5</v>
      </c>
      <c r="G286" s="231">
        <f t="shared" si="45"/>
        <v>1.5</v>
      </c>
      <c r="H286" s="350">
        <f t="shared" si="45"/>
        <v>27</v>
      </c>
      <c r="I286" s="350">
        <f t="shared" si="45"/>
        <v>285</v>
      </c>
      <c r="J286" s="350">
        <f t="shared" si="45"/>
        <v>0</v>
      </c>
      <c r="K286" s="350">
        <f t="shared" si="45"/>
        <v>30</v>
      </c>
      <c r="L286" s="350">
        <f t="shared" si="45"/>
        <v>0</v>
      </c>
      <c r="M286" s="350">
        <f t="shared" si="45"/>
        <v>0</v>
      </c>
      <c r="N286" s="350">
        <f t="shared" si="45"/>
        <v>24</v>
      </c>
      <c r="O286" s="350">
        <f t="shared" si="45"/>
        <v>0</v>
      </c>
      <c r="P286" s="350">
        <f t="shared" si="45"/>
        <v>126</v>
      </c>
      <c r="Q286" s="350">
        <f t="shared" si="45"/>
        <v>2.1</v>
      </c>
      <c r="R286" s="1"/>
      <c r="S286" s="1"/>
    </row>
    <row r="287" spans="1:19" s="354" customFormat="1" ht="16.5" customHeight="1" x14ac:dyDescent="0.25">
      <c r="A287" s="201"/>
      <c r="B287" s="522" t="s">
        <v>33</v>
      </c>
      <c r="C287" s="446"/>
      <c r="D287" s="447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"/>
      <c r="S287" s="1"/>
    </row>
    <row r="288" spans="1:19" s="354" customFormat="1" ht="18.75" customHeight="1" x14ac:dyDescent="0.25">
      <c r="A288" s="106">
        <v>41</v>
      </c>
      <c r="B288" s="436" t="s">
        <v>230</v>
      </c>
      <c r="C288" s="440"/>
      <c r="D288" s="441"/>
      <c r="E288" s="99">
        <v>100</v>
      </c>
      <c r="F288" s="117">
        <f>0.8*E288/100</f>
        <v>0.8</v>
      </c>
      <c r="G288" s="117">
        <f>0*F288/100</f>
        <v>0</v>
      </c>
      <c r="H288" s="117">
        <f>3.4*E288/100</f>
        <v>3.4</v>
      </c>
      <c r="I288" s="117">
        <f>16.8*E288/100</f>
        <v>16.8</v>
      </c>
      <c r="J288" s="117">
        <f>0*E288/100</f>
        <v>0</v>
      </c>
      <c r="K288" s="117">
        <f>10*E288/100</f>
        <v>10</v>
      </c>
      <c r="L288" s="117">
        <f>0*E288/100</f>
        <v>0</v>
      </c>
      <c r="M288" s="117">
        <f>0*E288/100</f>
        <v>0</v>
      </c>
      <c r="N288" s="117">
        <f>23*E288/100</f>
        <v>23</v>
      </c>
      <c r="O288" s="117">
        <f>0*E288/100</f>
        <v>0</v>
      </c>
      <c r="P288" s="117">
        <f>13*E288/100</f>
        <v>13</v>
      </c>
      <c r="Q288" s="117">
        <f>0.3*E288/100</f>
        <v>0.3</v>
      </c>
      <c r="R288" s="17"/>
      <c r="S288" s="17"/>
    </row>
    <row r="289" spans="1:19" s="354" customFormat="1" ht="14.25" customHeight="1" x14ac:dyDescent="0.25">
      <c r="A289" s="533">
        <v>82</v>
      </c>
      <c r="B289" s="534" t="s">
        <v>184</v>
      </c>
      <c r="C289" s="476"/>
      <c r="D289" s="477"/>
      <c r="E289" s="135">
        <v>300</v>
      </c>
      <c r="F289" s="512">
        <v>2.61</v>
      </c>
      <c r="G289" s="512">
        <v>5.58</v>
      </c>
      <c r="H289" s="512">
        <v>15.92</v>
      </c>
      <c r="I289" s="512">
        <v>124.34</v>
      </c>
      <c r="J289" s="512">
        <v>6.5000000000000002E-2</v>
      </c>
      <c r="K289" s="512">
        <v>26.72</v>
      </c>
      <c r="L289" s="512">
        <v>0</v>
      </c>
      <c r="M289" s="512">
        <v>0</v>
      </c>
      <c r="N289" s="512">
        <v>47.1</v>
      </c>
      <c r="O289" s="512">
        <v>56.6</v>
      </c>
      <c r="P289" s="512">
        <v>37.74</v>
      </c>
      <c r="Q289" s="512">
        <v>1.52</v>
      </c>
      <c r="R289" s="29"/>
      <c r="S289" s="29"/>
    </row>
    <row r="290" spans="1:19" s="354" customFormat="1" ht="13.5" customHeight="1" x14ac:dyDescent="0.25">
      <c r="A290" s="471"/>
      <c r="B290" s="478"/>
      <c r="C290" s="479"/>
      <c r="D290" s="480"/>
      <c r="E290" s="115">
        <f>E289*4/100</f>
        <v>12</v>
      </c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Q290" s="471"/>
      <c r="R290" s="39"/>
      <c r="S290" s="39"/>
    </row>
    <row r="291" spans="1:19" s="354" customFormat="1" ht="15" customHeight="1" x14ac:dyDescent="0.25">
      <c r="A291" s="546">
        <v>265</v>
      </c>
      <c r="B291" s="608" t="s">
        <v>208</v>
      </c>
      <c r="C291" s="609"/>
      <c r="D291" s="610"/>
      <c r="E291" s="161">
        <v>150</v>
      </c>
      <c r="F291" s="560">
        <v>27.45</v>
      </c>
      <c r="G291" s="560">
        <v>26.07</v>
      </c>
      <c r="H291" s="560">
        <v>39.450000000000003</v>
      </c>
      <c r="I291" s="560">
        <v>502</v>
      </c>
      <c r="J291" s="560">
        <v>0.1</v>
      </c>
      <c r="K291" s="560">
        <v>2.06</v>
      </c>
      <c r="L291" s="560">
        <f>0*E291/120</f>
        <v>0</v>
      </c>
      <c r="M291" s="560">
        <f>0*E291/120</f>
        <v>0</v>
      </c>
      <c r="N291" s="560">
        <v>25.09</v>
      </c>
      <c r="O291" s="560">
        <f>0*E291/120</f>
        <v>0</v>
      </c>
      <c r="P291" s="560">
        <v>54.98</v>
      </c>
      <c r="Q291" s="560">
        <f>3.2*E291/120</f>
        <v>4</v>
      </c>
      <c r="R291" s="17"/>
      <c r="S291" s="17"/>
    </row>
    <row r="292" spans="1:19" s="354" customFormat="1" ht="12.75" customHeight="1" x14ac:dyDescent="0.25">
      <c r="A292" s="471"/>
      <c r="B292" s="611"/>
      <c r="C292" s="612"/>
      <c r="D292" s="613"/>
      <c r="E292" s="169">
        <v>100</v>
      </c>
      <c r="F292" s="471"/>
      <c r="G292" s="471"/>
      <c r="H292" s="471"/>
      <c r="I292" s="471"/>
      <c r="J292" s="471"/>
      <c r="K292" s="471"/>
      <c r="L292" s="471"/>
      <c r="M292" s="471"/>
      <c r="N292" s="471"/>
      <c r="O292" s="471"/>
      <c r="P292" s="471"/>
      <c r="Q292" s="471"/>
      <c r="R292" s="29"/>
      <c r="S292" s="29"/>
    </row>
    <row r="293" spans="1:19" s="354" customFormat="1" ht="15.75" customHeight="1" x14ac:dyDescent="0.25">
      <c r="A293" s="106">
        <v>389</v>
      </c>
      <c r="B293" s="439" t="s">
        <v>188</v>
      </c>
      <c r="C293" s="440"/>
      <c r="D293" s="441"/>
      <c r="E293" s="100">
        <v>200</v>
      </c>
      <c r="F293" s="117">
        <v>1</v>
      </c>
      <c r="G293" s="117">
        <v>0</v>
      </c>
      <c r="H293" s="117">
        <v>20.2</v>
      </c>
      <c r="I293" s="117">
        <v>84.8</v>
      </c>
      <c r="J293" s="117">
        <v>0</v>
      </c>
      <c r="K293" s="117">
        <v>4</v>
      </c>
      <c r="L293" s="117">
        <v>0</v>
      </c>
      <c r="M293" s="117">
        <v>0</v>
      </c>
      <c r="N293" s="117">
        <v>14</v>
      </c>
      <c r="O293" s="117">
        <v>0</v>
      </c>
      <c r="P293" s="117">
        <v>8</v>
      </c>
      <c r="Q293" s="117">
        <v>2.8</v>
      </c>
      <c r="R293" s="29"/>
      <c r="S293" s="29"/>
    </row>
    <row r="294" spans="1:19" s="354" customFormat="1" ht="15.75" customHeight="1" x14ac:dyDescent="0.25">
      <c r="A294" s="106" t="s">
        <v>27</v>
      </c>
      <c r="B294" s="41" t="s">
        <v>39</v>
      </c>
      <c r="C294" s="41"/>
      <c r="D294" s="41"/>
      <c r="E294" s="99">
        <v>120</v>
      </c>
      <c r="F294" s="117">
        <f>4.03*E294/50</f>
        <v>9.6720000000000006</v>
      </c>
      <c r="G294" s="117">
        <f>0.5*E294/50</f>
        <v>1.2</v>
      </c>
      <c r="H294" s="117">
        <f>22.36*E294/50</f>
        <v>53.663999999999994</v>
      </c>
      <c r="I294" s="117">
        <f>98.86*E294/50</f>
        <v>237.26400000000001</v>
      </c>
      <c r="J294" s="117">
        <v>0</v>
      </c>
      <c r="K294" s="117">
        <v>0</v>
      </c>
      <c r="L294" s="117">
        <v>0</v>
      </c>
      <c r="M294" s="117">
        <v>0</v>
      </c>
      <c r="N294" s="117">
        <f>17.59*E294/50</f>
        <v>42.216000000000001</v>
      </c>
      <c r="O294" s="117">
        <v>0</v>
      </c>
      <c r="P294" s="117">
        <f>1.89*E294/50</f>
        <v>4.5359999999999996</v>
      </c>
      <c r="Q294" s="117">
        <f>0.88*E294/50</f>
        <v>2.1120000000000001</v>
      </c>
      <c r="R294" s="17"/>
      <c r="S294" s="17"/>
    </row>
    <row r="295" spans="1:19" s="354" customFormat="1" ht="15.75" customHeight="1" x14ac:dyDescent="0.25">
      <c r="A295" s="106" t="s">
        <v>27</v>
      </c>
      <c r="B295" s="439" t="s">
        <v>28</v>
      </c>
      <c r="C295" s="440"/>
      <c r="D295" s="441"/>
      <c r="E295" s="99">
        <v>45</v>
      </c>
      <c r="F295" s="117">
        <f>2.26*E295/30</f>
        <v>3.3899999999999997</v>
      </c>
      <c r="G295" s="117">
        <f>0.23*E295/30</f>
        <v>0.34499999999999997</v>
      </c>
      <c r="H295" s="117">
        <f>14.66*E295/30</f>
        <v>21.990000000000002</v>
      </c>
      <c r="I295" s="117">
        <f>68.86*E295/30</f>
        <v>103.28999999999999</v>
      </c>
      <c r="J295" s="117">
        <v>0</v>
      </c>
      <c r="K295" s="117">
        <v>0</v>
      </c>
      <c r="L295" s="117">
        <v>0</v>
      </c>
      <c r="M295" s="117">
        <v>0</v>
      </c>
      <c r="N295" s="117">
        <f>12.97*E295/30</f>
        <v>19.454999999999998</v>
      </c>
      <c r="O295" s="117">
        <v>0</v>
      </c>
      <c r="P295" s="117">
        <f>2.83*E295/30</f>
        <v>4.2450000000000001</v>
      </c>
      <c r="Q295" s="117">
        <f>0.74*E295/30</f>
        <v>1.1099999999999999</v>
      </c>
      <c r="R295" s="17"/>
      <c r="S295" s="17"/>
    </row>
    <row r="296" spans="1:19" s="354" customFormat="1" ht="15.75" customHeight="1" x14ac:dyDescent="0.25">
      <c r="A296" s="106"/>
      <c r="B296" s="442" t="s">
        <v>65</v>
      </c>
      <c r="C296" s="443"/>
      <c r="D296" s="444"/>
      <c r="E296" s="100">
        <f t="shared" ref="E296:Q296" si="46">SUM(E288:E295)</f>
        <v>1027</v>
      </c>
      <c r="F296" s="117">
        <f t="shared" si="46"/>
        <v>44.921999999999997</v>
      </c>
      <c r="G296" s="117">
        <f t="shared" si="46"/>
        <v>33.195</v>
      </c>
      <c r="H296" s="117">
        <f t="shared" si="46"/>
        <v>154.624</v>
      </c>
      <c r="I296" s="117">
        <f t="shared" si="46"/>
        <v>1068.4939999999999</v>
      </c>
      <c r="J296" s="117">
        <f t="shared" si="46"/>
        <v>0.16500000000000001</v>
      </c>
      <c r="K296" s="117">
        <f t="shared" si="46"/>
        <v>42.78</v>
      </c>
      <c r="L296" s="117">
        <f t="shared" si="46"/>
        <v>0</v>
      </c>
      <c r="M296" s="117">
        <f t="shared" si="46"/>
        <v>0</v>
      </c>
      <c r="N296" s="117">
        <f t="shared" si="46"/>
        <v>170.86099999999999</v>
      </c>
      <c r="O296" s="117">
        <f t="shared" si="46"/>
        <v>56.6</v>
      </c>
      <c r="P296" s="117">
        <f t="shared" si="46"/>
        <v>122.501</v>
      </c>
      <c r="Q296" s="117">
        <f t="shared" si="46"/>
        <v>11.842000000000001</v>
      </c>
      <c r="R296" s="29"/>
      <c r="S296" s="29"/>
    </row>
    <row r="297" spans="1:19" s="354" customFormat="1" ht="15.75" customHeight="1" x14ac:dyDescent="0.25">
      <c r="A297" s="201"/>
      <c r="B297" s="445" t="s">
        <v>41</v>
      </c>
      <c r="C297" s="446"/>
      <c r="D297" s="447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71"/>
      <c r="S297" s="1"/>
    </row>
    <row r="298" spans="1:19" s="354" customFormat="1" ht="27" customHeight="1" x14ac:dyDescent="0.25">
      <c r="A298" s="106" t="s">
        <v>27</v>
      </c>
      <c r="B298" s="436" t="s">
        <v>221</v>
      </c>
      <c r="C298" s="440"/>
      <c r="D298" s="441"/>
      <c r="E298" s="102">
        <v>30</v>
      </c>
      <c r="F298" s="102">
        <v>1.25</v>
      </c>
      <c r="G298" s="102">
        <v>1.48</v>
      </c>
      <c r="H298" s="102">
        <v>34.89</v>
      </c>
      <c r="I298" s="102">
        <v>160.75</v>
      </c>
      <c r="J298" s="102">
        <v>0</v>
      </c>
      <c r="K298" s="102">
        <v>0.1</v>
      </c>
      <c r="L298" s="102">
        <v>0</v>
      </c>
      <c r="M298" s="102">
        <v>0</v>
      </c>
      <c r="N298" s="102">
        <v>6.8</v>
      </c>
      <c r="O298" s="102">
        <v>0</v>
      </c>
      <c r="P298" s="102">
        <v>4.53</v>
      </c>
      <c r="Q298" s="102">
        <v>0.9</v>
      </c>
      <c r="R298" s="39"/>
      <c r="S298" s="71"/>
    </row>
    <row r="299" spans="1:19" s="354" customFormat="1" ht="15.75" customHeight="1" x14ac:dyDescent="0.25">
      <c r="A299" s="102">
        <v>382</v>
      </c>
      <c r="B299" s="555" t="s">
        <v>58</v>
      </c>
      <c r="C299" s="440"/>
      <c r="D299" s="441"/>
      <c r="E299" s="102">
        <v>200</v>
      </c>
      <c r="F299" s="196">
        <v>3.76</v>
      </c>
      <c r="G299" s="196">
        <v>3.2</v>
      </c>
      <c r="H299" s="196">
        <v>17.57</v>
      </c>
      <c r="I299" s="196">
        <v>114.12</v>
      </c>
      <c r="J299" s="196">
        <v>0</v>
      </c>
      <c r="K299" s="196">
        <v>1.58</v>
      </c>
      <c r="L299" s="196">
        <v>0</v>
      </c>
      <c r="M299" s="196">
        <v>0</v>
      </c>
      <c r="N299" s="196">
        <v>152.22</v>
      </c>
      <c r="O299" s="196">
        <v>0</v>
      </c>
      <c r="P299" s="196">
        <v>21.34</v>
      </c>
      <c r="Q299" s="196">
        <v>0.47</v>
      </c>
      <c r="R299" s="39"/>
      <c r="S299" s="71"/>
    </row>
    <row r="300" spans="1:19" s="354" customFormat="1" ht="17.25" customHeight="1" x14ac:dyDescent="0.25">
      <c r="A300" s="106"/>
      <c r="B300" s="442" t="s">
        <v>86</v>
      </c>
      <c r="C300" s="472"/>
      <c r="D300" s="473"/>
      <c r="E300" s="106">
        <f>SUM(E298:E299)</f>
        <v>230</v>
      </c>
      <c r="F300" s="132">
        <f t="shared" ref="F300:J300" si="47">F298+F299</f>
        <v>5.01</v>
      </c>
      <c r="G300" s="132">
        <f t="shared" si="47"/>
        <v>4.68</v>
      </c>
      <c r="H300" s="132">
        <f t="shared" si="47"/>
        <v>52.46</v>
      </c>
      <c r="I300" s="132">
        <f t="shared" si="47"/>
        <v>274.87</v>
      </c>
      <c r="J300" s="132">
        <f t="shared" si="47"/>
        <v>0</v>
      </c>
      <c r="K300" s="132">
        <f t="shared" ref="K300:L300" si="48">SUM(K298:K299)</f>
        <v>1.6800000000000002</v>
      </c>
      <c r="L300" s="132">
        <f t="shared" si="48"/>
        <v>0</v>
      </c>
      <c r="M300" s="132">
        <f t="shared" ref="M300:N300" si="49">M298+M299</f>
        <v>0</v>
      </c>
      <c r="N300" s="132">
        <f t="shared" si="49"/>
        <v>159.02000000000001</v>
      </c>
      <c r="O300" s="132">
        <f t="shared" ref="O300:P300" si="50">SUM(O298:O299)</f>
        <v>0</v>
      </c>
      <c r="P300" s="132">
        <f t="shared" si="50"/>
        <v>25.87</v>
      </c>
      <c r="Q300" s="132">
        <f>Q298+Q299</f>
        <v>1.37</v>
      </c>
      <c r="R300" s="17"/>
      <c r="S300" s="1"/>
    </row>
    <row r="301" spans="1:19" s="354" customFormat="1" ht="17.25" customHeight="1" x14ac:dyDescent="0.25">
      <c r="A301" s="201"/>
      <c r="B301" s="474" t="s">
        <v>44</v>
      </c>
      <c r="C301" s="446"/>
      <c r="D301" s="447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"/>
      <c r="S301" s="1"/>
    </row>
    <row r="302" spans="1:19" s="354" customFormat="1" ht="15.75" customHeight="1" x14ac:dyDescent="0.25">
      <c r="A302" s="106">
        <v>75</v>
      </c>
      <c r="B302" s="436" t="s">
        <v>186</v>
      </c>
      <c r="C302" s="440"/>
      <c r="D302" s="441"/>
      <c r="E302" s="99">
        <v>100</v>
      </c>
      <c r="F302" s="117">
        <f>0.8*E302/100</f>
        <v>0.8</v>
      </c>
      <c r="G302" s="117">
        <f>0*F302/100</f>
        <v>0</v>
      </c>
      <c r="H302" s="117">
        <f>3.4*E302/100</f>
        <v>3.4</v>
      </c>
      <c r="I302" s="117">
        <f>16.8*E302/100</f>
        <v>16.8</v>
      </c>
      <c r="J302" s="117">
        <f>0*E302/100</f>
        <v>0</v>
      </c>
      <c r="K302" s="117">
        <f>10*E302/100</f>
        <v>10</v>
      </c>
      <c r="L302" s="117">
        <f>0*E302/100</f>
        <v>0</v>
      </c>
      <c r="M302" s="117">
        <f>0*E302/100</f>
        <v>0</v>
      </c>
      <c r="N302" s="117">
        <f>23*E302/100</f>
        <v>23</v>
      </c>
      <c r="O302" s="117">
        <f>0*E302/100</f>
        <v>0</v>
      </c>
      <c r="P302" s="117">
        <f>13*E302/100</f>
        <v>13</v>
      </c>
      <c r="Q302" s="117">
        <f>0.3*E302/100</f>
        <v>0.3</v>
      </c>
      <c r="R302" s="17"/>
      <c r="S302" s="17"/>
    </row>
    <row r="303" spans="1:19" s="354" customFormat="1" ht="14.25" customHeight="1" x14ac:dyDescent="0.25">
      <c r="A303" s="470" t="s">
        <v>146</v>
      </c>
      <c r="B303" s="542" t="s">
        <v>147</v>
      </c>
      <c r="C303" s="476"/>
      <c r="D303" s="477"/>
      <c r="E303" s="122">
        <v>100</v>
      </c>
      <c r="F303" s="470">
        <f>15.28*(E303+E304)/(100+50)</f>
        <v>15.28</v>
      </c>
      <c r="G303" s="470">
        <f>12.3*(E303+E304)/(100+50)</f>
        <v>12.3</v>
      </c>
      <c r="H303" s="470">
        <f>15.6*(E303+E304)/(100+50)</f>
        <v>15.6</v>
      </c>
      <c r="I303" s="470">
        <f>234.22*(E303+E304)/(100+50)</f>
        <v>234.22</v>
      </c>
      <c r="J303" s="470">
        <v>0</v>
      </c>
      <c r="K303" s="470">
        <f>2.4*(E303+E304)/(100+50)</f>
        <v>2.4</v>
      </c>
      <c r="L303" s="470">
        <v>0</v>
      </c>
      <c r="M303" s="470">
        <v>0</v>
      </c>
      <c r="N303" s="470">
        <f>19.54*(E303+E304)/(100+50)</f>
        <v>19.54</v>
      </c>
      <c r="O303" s="470">
        <v>0</v>
      </c>
      <c r="P303" s="470">
        <f>48.9*(E303+E304)/(100+50)</f>
        <v>48.9</v>
      </c>
      <c r="Q303" s="470">
        <f>1.02*(E303+E304)/(100+50)</f>
        <v>1.02</v>
      </c>
      <c r="R303" s="17"/>
      <c r="S303" s="17"/>
    </row>
    <row r="304" spans="1:19" s="354" customFormat="1" ht="12.75" customHeight="1" x14ac:dyDescent="0.25">
      <c r="A304" s="471"/>
      <c r="B304" s="478"/>
      <c r="C304" s="479"/>
      <c r="D304" s="480"/>
      <c r="E304" s="208">
        <f>E303/2</f>
        <v>50</v>
      </c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Q304" s="471"/>
      <c r="R304" s="17"/>
      <c r="S304" s="17"/>
    </row>
    <row r="305" spans="1:19" s="354" customFormat="1" ht="15.75" customHeight="1" x14ac:dyDescent="0.25">
      <c r="A305" s="126">
        <v>312</v>
      </c>
      <c r="B305" s="439" t="s">
        <v>64</v>
      </c>
      <c r="C305" s="440"/>
      <c r="D305" s="441"/>
      <c r="E305" s="137">
        <v>200</v>
      </c>
      <c r="F305" s="117">
        <v>4.05</v>
      </c>
      <c r="G305" s="117">
        <v>8.31</v>
      </c>
      <c r="H305" s="117">
        <v>31.13</v>
      </c>
      <c r="I305" s="117">
        <v>215.5</v>
      </c>
      <c r="J305" s="117">
        <v>0.2</v>
      </c>
      <c r="K305" s="117">
        <v>33.5</v>
      </c>
      <c r="L305" s="117">
        <v>0</v>
      </c>
      <c r="M305" s="117">
        <f>0*E305/200</f>
        <v>0</v>
      </c>
      <c r="N305" s="117">
        <v>55.78</v>
      </c>
      <c r="O305" s="117">
        <v>125.98</v>
      </c>
      <c r="P305" s="117">
        <v>42.74</v>
      </c>
      <c r="Q305" s="117">
        <v>1.55</v>
      </c>
      <c r="R305" s="29"/>
      <c r="S305" s="29"/>
    </row>
    <row r="306" spans="1:19" s="354" customFormat="1" ht="15.75" customHeight="1" x14ac:dyDescent="0.25">
      <c r="A306" s="143">
        <v>389</v>
      </c>
      <c r="B306" s="541" t="s">
        <v>188</v>
      </c>
      <c r="C306" s="440"/>
      <c r="D306" s="441"/>
      <c r="E306" s="232">
        <v>200</v>
      </c>
      <c r="F306" s="233">
        <v>1</v>
      </c>
      <c r="G306" s="233">
        <v>0</v>
      </c>
      <c r="H306" s="233">
        <v>20.2</v>
      </c>
      <c r="I306" s="233">
        <v>84.8</v>
      </c>
      <c r="J306" s="233">
        <v>0</v>
      </c>
      <c r="K306" s="233">
        <v>4</v>
      </c>
      <c r="L306" s="233">
        <v>0</v>
      </c>
      <c r="M306" s="233">
        <v>0</v>
      </c>
      <c r="N306" s="233">
        <v>14</v>
      </c>
      <c r="O306" s="233">
        <v>0</v>
      </c>
      <c r="P306" s="233">
        <v>8</v>
      </c>
      <c r="Q306" s="233">
        <v>2.8</v>
      </c>
      <c r="R306" s="29"/>
      <c r="S306" s="73"/>
    </row>
    <row r="307" spans="1:19" s="354" customFormat="1" ht="15.75" customHeight="1" x14ac:dyDescent="0.25">
      <c r="A307" s="106" t="s">
        <v>27</v>
      </c>
      <c r="B307" s="41" t="s">
        <v>39</v>
      </c>
      <c r="C307" s="41"/>
      <c r="D307" s="41"/>
      <c r="E307" s="99">
        <v>75</v>
      </c>
      <c r="F307" s="117">
        <f>4.03*E307/50</f>
        <v>6.0449999999999999</v>
      </c>
      <c r="G307" s="117">
        <f>0.5*E307/50</f>
        <v>0.75</v>
      </c>
      <c r="H307" s="117">
        <f>22.36*E307/50</f>
        <v>33.54</v>
      </c>
      <c r="I307" s="117">
        <f>98.86*E307/50</f>
        <v>148.29</v>
      </c>
      <c r="J307" s="117">
        <v>0</v>
      </c>
      <c r="K307" s="117">
        <v>0</v>
      </c>
      <c r="L307" s="117">
        <v>0</v>
      </c>
      <c r="M307" s="117">
        <v>0</v>
      </c>
      <c r="N307" s="117">
        <f>17.59*E307/50</f>
        <v>26.385000000000002</v>
      </c>
      <c r="O307" s="117">
        <v>0</v>
      </c>
      <c r="P307" s="117">
        <f>1.89*E307/50</f>
        <v>2.835</v>
      </c>
      <c r="Q307" s="117">
        <f>0.88*E307/50</f>
        <v>1.32</v>
      </c>
      <c r="R307" s="17"/>
      <c r="S307" s="17"/>
    </row>
    <row r="308" spans="1:19" s="354" customFormat="1" ht="15.75" customHeight="1" x14ac:dyDescent="0.25">
      <c r="A308" s="106" t="s">
        <v>27</v>
      </c>
      <c r="B308" s="439" t="s">
        <v>28</v>
      </c>
      <c r="C308" s="440"/>
      <c r="D308" s="441"/>
      <c r="E308" s="99">
        <v>45</v>
      </c>
      <c r="F308" s="117">
        <f>2.26*E308/30</f>
        <v>3.3899999999999997</v>
      </c>
      <c r="G308" s="117">
        <f>0.23*E308/30</f>
        <v>0.34499999999999997</v>
      </c>
      <c r="H308" s="117">
        <f>14.66*E308/30</f>
        <v>21.990000000000002</v>
      </c>
      <c r="I308" s="117">
        <f>68.86*E308/30</f>
        <v>103.28999999999999</v>
      </c>
      <c r="J308" s="117">
        <v>0</v>
      </c>
      <c r="K308" s="117">
        <v>0</v>
      </c>
      <c r="L308" s="117">
        <v>0</v>
      </c>
      <c r="M308" s="117">
        <v>0</v>
      </c>
      <c r="N308" s="117">
        <f>12.97*E308/30</f>
        <v>19.454999999999998</v>
      </c>
      <c r="O308" s="117">
        <v>0</v>
      </c>
      <c r="P308" s="117">
        <f>2.83*E308/30</f>
        <v>4.2450000000000001</v>
      </c>
      <c r="Q308" s="117">
        <f>0.74*E308/30</f>
        <v>1.1099999999999999</v>
      </c>
      <c r="R308" s="17"/>
      <c r="S308" s="17"/>
    </row>
    <row r="309" spans="1:19" s="354" customFormat="1" ht="15.75" customHeight="1" x14ac:dyDescent="0.25">
      <c r="A309" s="106"/>
      <c r="B309" s="442" t="s">
        <v>72</v>
      </c>
      <c r="C309" s="443"/>
      <c r="D309" s="444"/>
      <c r="E309" s="100">
        <f t="shared" ref="E309:Q309" si="51">SUM(E302:E308)</f>
        <v>770</v>
      </c>
      <c r="F309" s="117">
        <f t="shared" si="51"/>
        <v>30.564999999999998</v>
      </c>
      <c r="G309" s="117">
        <f t="shared" si="51"/>
        <v>21.704999999999998</v>
      </c>
      <c r="H309" s="117">
        <f t="shared" si="51"/>
        <v>125.86000000000001</v>
      </c>
      <c r="I309" s="117">
        <f t="shared" si="51"/>
        <v>802.89999999999986</v>
      </c>
      <c r="J309" s="117">
        <f t="shared" si="51"/>
        <v>0.2</v>
      </c>
      <c r="K309" s="117">
        <f t="shared" si="51"/>
        <v>49.9</v>
      </c>
      <c r="L309" s="117">
        <f t="shared" si="51"/>
        <v>0</v>
      </c>
      <c r="M309" s="117">
        <f t="shared" si="51"/>
        <v>0</v>
      </c>
      <c r="N309" s="117">
        <f t="shared" si="51"/>
        <v>158.15999999999997</v>
      </c>
      <c r="O309" s="117">
        <f t="shared" si="51"/>
        <v>125.98</v>
      </c>
      <c r="P309" s="117">
        <f t="shared" si="51"/>
        <v>119.72</v>
      </c>
      <c r="Q309" s="117">
        <f t="shared" si="51"/>
        <v>8.1</v>
      </c>
      <c r="R309" s="29"/>
      <c r="S309" s="29"/>
    </row>
    <row r="310" spans="1:19" s="354" customFormat="1" ht="15.75" customHeight="1" x14ac:dyDescent="0.25">
      <c r="A310" s="201"/>
      <c r="B310" s="474" t="s">
        <v>209</v>
      </c>
      <c r="C310" s="446"/>
      <c r="D310" s="447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"/>
      <c r="S310" s="1"/>
    </row>
    <row r="311" spans="1:19" s="354" customFormat="1" ht="15.75" customHeight="1" x14ac:dyDescent="0.25">
      <c r="A311" s="106" t="s">
        <v>27</v>
      </c>
      <c r="B311" s="436" t="s">
        <v>222</v>
      </c>
      <c r="C311" s="440"/>
      <c r="D311" s="441"/>
      <c r="E311" s="102">
        <v>30</v>
      </c>
      <c r="F311" s="102">
        <v>2.82</v>
      </c>
      <c r="G311" s="102">
        <v>3.16</v>
      </c>
      <c r="H311" s="102">
        <v>29.96</v>
      </c>
      <c r="I311" s="102">
        <v>159.18</v>
      </c>
      <c r="J311" s="102">
        <v>0</v>
      </c>
      <c r="K311" s="102">
        <v>0.08</v>
      </c>
      <c r="L311" s="102">
        <v>0</v>
      </c>
      <c r="M311" s="102">
        <v>0</v>
      </c>
      <c r="N311" s="102">
        <v>8.1999999999999993</v>
      </c>
      <c r="O311" s="102">
        <v>0</v>
      </c>
      <c r="P311" s="102">
        <v>11.57</v>
      </c>
      <c r="Q311" s="102">
        <v>0.6</v>
      </c>
      <c r="R311" s="29"/>
      <c r="S311" s="29"/>
    </row>
    <row r="312" spans="1:19" s="354" customFormat="1" ht="15.75" customHeight="1" x14ac:dyDescent="0.25">
      <c r="A312" s="235">
        <v>386</v>
      </c>
      <c r="B312" s="607" t="s">
        <v>120</v>
      </c>
      <c r="C312" s="563"/>
      <c r="D312" s="564"/>
      <c r="E312" s="348">
        <v>180</v>
      </c>
      <c r="F312" s="346">
        <v>6.5</v>
      </c>
      <c r="G312" s="346">
        <v>6.4</v>
      </c>
      <c r="H312" s="346">
        <v>8.1999999999999993</v>
      </c>
      <c r="I312" s="346">
        <v>101.58</v>
      </c>
      <c r="J312" s="346">
        <v>0</v>
      </c>
      <c r="K312" s="346">
        <v>1.4</v>
      </c>
      <c r="L312" s="346">
        <v>0</v>
      </c>
      <c r="M312" s="346">
        <v>0</v>
      </c>
      <c r="N312" s="346">
        <v>240</v>
      </c>
      <c r="O312" s="346">
        <v>0</v>
      </c>
      <c r="P312" s="346">
        <v>28</v>
      </c>
      <c r="Q312" s="346">
        <v>0.2</v>
      </c>
      <c r="R312" s="29"/>
      <c r="S312" s="29"/>
    </row>
    <row r="313" spans="1:19" s="354" customFormat="1" ht="18.75" customHeight="1" x14ac:dyDescent="0.25">
      <c r="A313" s="237"/>
      <c r="B313" s="604" t="s">
        <v>211</v>
      </c>
      <c r="C313" s="605"/>
      <c r="D313" s="605"/>
      <c r="E313" s="238">
        <f>SUM(E311:E312)</f>
        <v>210</v>
      </c>
      <c r="F313" s="104">
        <f t="shared" ref="F313:M313" si="52">F311+F312</f>
        <v>9.32</v>
      </c>
      <c r="G313" s="104">
        <f t="shared" si="52"/>
        <v>9.56</v>
      </c>
      <c r="H313" s="104">
        <f t="shared" si="52"/>
        <v>38.159999999999997</v>
      </c>
      <c r="I313" s="104">
        <f t="shared" si="52"/>
        <v>260.76</v>
      </c>
      <c r="J313" s="104">
        <f t="shared" si="52"/>
        <v>0</v>
      </c>
      <c r="K313" s="104">
        <f t="shared" si="52"/>
        <v>1.48</v>
      </c>
      <c r="L313" s="104">
        <f t="shared" si="52"/>
        <v>0</v>
      </c>
      <c r="M313" s="104">
        <f t="shared" si="52"/>
        <v>0</v>
      </c>
      <c r="N313" s="104">
        <f>SUM(N311:N312)</f>
        <v>248.2</v>
      </c>
      <c r="O313" s="104">
        <f>SUM(O311:O312)</f>
        <v>0</v>
      </c>
      <c r="P313" s="104">
        <f>SUM(P311:P312)</f>
        <v>39.57</v>
      </c>
      <c r="Q313" s="104">
        <f>Q311+Q312</f>
        <v>0.8</v>
      </c>
      <c r="R313" s="29"/>
      <c r="S313" s="29"/>
    </row>
    <row r="314" spans="1:19" s="354" customFormat="1" ht="18.75" customHeight="1" x14ac:dyDescent="0.25">
      <c r="A314" s="74"/>
      <c r="B314" s="436" t="s">
        <v>53</v>
      </c>
      <c r="C314" s="437"/>
      <c r="D314" s="438"/>
      <c r="E314" s="91">
        <v>8</v>
      </c>
      <c r="F314" s="144"/>
      <c r="G314" s="144"/>
      <c r="H314" s="144"/>
      <c r="I314" s="144"/>
      <c r="J314" s="144"/>
      <c r="K314" s="144"/>
      <c r="L314" s="144"/>
      <c r="M314" s="144"/>
      <c r="N314" s="144">
        <v>29.44</v>
      </c>
      <c r="O314" s="144"/>
      <c r="P314" s="144">
        <v>1.76</v>
      </c>
      <c r="Q314" s="144">
        <v>0.23</v>
      </c>
      <c r="R314" s="29"/>
      <c r="S314" s="29"/>
    </row>
    <row r="315" spans="1:19" s="354" customFormat="1" ht="18.75" customHeight="1" x14ac:dyDescent="0.25">
      <c r="A315" s="106"/>
      <c r="B315" s="422" t="s">
        <v>151</v>
      </c>
      <c r="C315" s="423"/>
      <c r="D315" s="424"/>
      <c r="E315" s="93">
        <f>SUM(E283,E286,E296,E300,E309,E313)</f>
        <v>3052</v>
      </c>
      <c r="F315" s="22">
        <f t="shared" ref="F315:M315" si="53">SUM(F283,F286,F296,F300,F309,F313)</f>
        <v>113.21700000000001</v>
      </c>
      <c r="G315" s="22">
        <f t="shared" si="53"/>
        <v>89.305000000000007</v>
      </c>
      <c r="H315" s="22">
        <f t="shared" si="53"/>
        <v>483.21399999999994</v>
      </c>
      <c r="I315" s="167">
        <f t="shared" si="53"/>
        <v>3273.3140000000003</v>
      </c>
      <c r="J315" s="22">
        <f t="shared" si="53"/>
        <v>0.40500000000000003</v>
      </c>
      <c r="K315" s="22">
        <f t="shared" si="53"/>
        <v>127.21000000000002</v>
      </c>
      <c r="L315" s="22">
        <f t="shared" si="53"/>
        <v>0.03</v>
      </c>
      <c r="M315" s="22">
        <f t="shared" si="53"/>
        <v>0.11</v>
      </c>
      <c r="N315" s="22">
        <f>SUM(N283,N286,N296,N300,N309,N313,N314)</f>
        <v>1236.136</v>
      </c>
      <c r="O315" s="22">
        <f>SUM(O283,O286,O296,O300,O309,O313)</f>
        <v>192.03</v>
      </c>
      <c r="P315" s="22">
        <f>SUM(P283,P286,P296,P300,P309,P313)</f>
        <v>575.90600000000006</v>
      </c>
      <c r="Q315" s="31">
        <f>SUM(Q283,Q286,Q296,Q300,Q309,Q313)</f>
        <v>27.672000000000001</v>
      </c>
      <c r="R315" s="29"/>
      <c r="S315" s="29"/>
    </row>
    <row r="316" spans="1:19" s="354" customFormat="1" ht="15.75" customHeight="1" x14ac:dyDescent="0.25">
      <c r="A316" s="106"/>
      <c r="B316" s="809" t="s">
        <v>220</v>
      </c>
      <c r="C316" s="810"/>
      <c r="D316" s="811"/>
      <c r="E316" s="360">
        <f>E315+E270+E224+E179+E135+E89+E47</f>
        <v>22635.013200000001</v>
      </c>
      <c r="F316" s="361">
        <f t="shared" ref="F316:Q316" si="54">SUM(F44,F87,F134,F179,F224,F270,F315)</f>
        <v>548.78934097771833</v>
      </c>
      <c r="G316" s="361">
        <f t="shared" si="54"/>
        <v>507.70470315882352</v>
      </c>
      <c r="H316" s="364">
        <f t="shared" si="54"/>
        <v>2024.9671159784314</v>
      </c>
      <c r="I316" s="104">
        <f t="shared" si="54"/>
        <v>15009.615796096257</v>
      </c>
      <c r="J316" s="362">
        <f t="shared" si="54"/>
        <v>0.71760000000000002</v>
      </c>
      <c r="K316" s="361">
        <f t="shared" si="54"/>
        <v>477.03034171122999</v>
      </c>
      <c r="L316" s="361">
        <f t="shared" si="54"/>
        <v>0.28100000000000003</v>
      </c>
      <c r="M316" s="361">
        <f t="shared" si="54"/>
        <v>24.84</v>
      </c>
      <c r="N316" s="361">
        <f t="shared" si="54"/>
        <v>5698.5903610818186</v>
      </c>
      <c r="O316" s="363">
        <f t="shared" si="54"/>
        <v>631.52</v>
      </c>
      <c r="P316" s="365">
        <f t="shared" si="54"/>
        <v>2408.723001602139</v>
      </c>
      <c r="Q316" s="362">
        <f t="shared" si="54"/>
        <v>177.06645604812834</v>
      </c>
      <c r="R316" s="17"/>
      <c r="S316" s="17"/>
    </row>
    <row r="317" spans="1:19" s="380" customFormat="1" ht="24" customHeight="1" x14ac:dyDescent="0.25">
      <c r="A317" s="795" t="s">
        <v>153</v>
      </c>
      <c r="B317" s="796"/>
      <c r="C317" s="796"/>
      <c r="D317" s="796"/>
      <c r="E317" s="796"/>
      <c r="F317" s="796"/>
      <c r="G317" s="796"/>
      <c r="H317" s="796"/>
      <c r="I317" s="796"/>
      <c r="J317" s="796"/>
      <c r="K317" s="796"/>
      <c r="L317" s="796"/>
      <c r="M317" s="796"/>
      <c r="N317" s="796"/>
      <c r="O317" s="796"/>
      <c r="P317" s="796"/>
      <c r="Q317" s="796"/>
      <c r="R317" s="796"/>
      <c r="S317" s="379"/>
    </row>
    <row r="318" spans="1:19" s="354" customFormat="1" ht="15.75" customHeight="1" x14ac:dyDescent="0.25">
      <c r="A318" s="634" t="s">
        <v>3</v>
      </c>
      <c r="B318" s="766" t="s">
        <v>4</v>
      </c>
      <c r="C318" s="767"/>
      <c r="D318" s="768"/>
      <c r="E318" s="654" t="s">
        <v>5</v>
      </c>
      <c r="F318" s="650" t="s">
        <v>6</v>
      </c>
      <c r="G318" s="440"/>
      <c r="H318" s="441"/>
      <c r="I318" s="654" t="s">
        <v>7</v>
      </c>
      <c r="J318" s="650" t="s">
        <v>8</v>
      </c>
      <c r="K318" s="440"/>
      <c r="L318" s="440"/>
      <c r="M318" s="441"/>
      <c r="N318" s="650" t="s">
        <v>9</v>
      </c>
      <c r="O318" s="440"/>
      <c r="P318" s="440"/>
      <c r="Q318" s="441"/>
      <c r="R318" s="1"/>
      <c r="S318" s="1"/>
    </row>
    <row r="319" spans="1:19" s="354" customFormat="1" ht="25.5" customHeight="1" x14ac:dyDescent="0.25">
      <c r="A319" s="480"/>
      <c r="B319" s="769"/>
      <c r="C319" s="770"/>
      <c r="D319" s="771"/>
      <c r="E319" s="527"/>
      <c r="F319" s="5" t="s">
        <v>10</v>
      </c>
      <c r="G319" s="5" t="s">
        <v>11</v>
      </c>
      <c r="H319" s="5" t="s">
        <v>12</v>
      </c>
      <c r="I319" s="527"/>
      <c r="J319" s="6" t="s">
        <v>13</v>
      </c>
      <c r="K319" s="6" t="s">
        <v>14</v>
      </c>
      <c r="L319" s="6" t="s">
        <v>15</v>
      </c>
      <c r="M319" s="7" t="s">
        <v>16</v>
      </c>
      <c r="N319" s="8" t="s">
        <v>17</v>
      </c>
      <c r="O319" s="6" t="s">
        <v>18</v>
      </c>
      <c r="P319" s="6" t="s">
        <v>19</v>
      </c>
      <c r="Q319" s="7" t="s">
        <v>20</v>
      </c>
      <c r="R319" s="1"/>
      <c r="S319" s="1"/>
    </row>
    <row r="320" spans="1:19" s="354" customFormat="1" ht="13.5" customHeight="1" x14ac:dyDescent="0.25">
      <c r="A320" s="9">
        <v>1</v>
      </c>
      <c r="B320" s="532">
        <v>2</v>
      </c>
      <c r="C320" s="440"/>
      <c r="D320" s="441"/>
      <c r="E320" s="11">
        <v>3</v>
      </c>
      <c r="F320" s="9">
        <v>4</v>
      </c>
      <c r="G320" s="9">
        <v>5</v>
      </c>
      <c r="H320" s="9">
        <v>6</v>
      </c>
      <c r="I320" s="352">
        <v>7</v>
      </c>
      <c r="J320" s="9">
        <v>8</v>
      </c>
      <c r="K320" s="9">
        <v>9</v>
      </c>
      <c r="L320" s="9">
        <v>10</v>
      </c>
      <c r="M320" s="12">
        <v>11</v>
      </c>
      <c r="N320" s="9">
        <v>12</v>
      </c>
      <c r="O320" s="9">
        <v>13</v>
      </c>
      <c r="P320" s="9">
        <v>14</v>
      </c>
      <c r="Q320" s="13">
        <v>15</v>
      </c>
      <c r="R320" s="1"/>
      <c r="S320" s="1"/>
    </row>
    <row r="321" spans="1:19" s="354" customFormat="1" ht="15.75" customHeight="1" x14ac:dyDescent="0.25">
      <c r="A321" s="14"/>
      <c r="B321" s="522" t="s">
        <v>21</v>
      </c>
      <c r="C321" s="446"/>
      <c r="D321" s="447"/>
      <c r="E321" s="99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"/>
      <c r="S321" s="1"/>
    </row>
    <row r="322" spans="1:19" s="354" customFormat="1" ht="18" customHeight="1" x14ac:dyDescent="0.25">
      <c r="A322" s="115">
        <v>3</v>
      </c>
      <c r="B322" s="439" t="s">
        <v>22</v>
      </c>
      <c r="C322" s="440"/>
      <c r="D322" s="441"/>
      <c r="E322" s="128" t="s">
        <v>23</v>
      </c>
      <c r="F322" s="129">
        <v>5.7</v>
      </c>
      <c r="G322" s="129">
        <v>8.33</v>
      </c>
      <c r="H322" s="129">
        <v>14.95</v>
      </c>
      <c r="I322" s="129">
        <v>157.85</v>
      </c>
      <c r="J322" s="129">
        <v>0.04</v>
      </c>
      <c r="K322" s="129">
        <v>0.11</v>
      </c>
      <c r="L322" s="129">
        <v>0.03</v>
      </c>
      <c r="M322" s="129">
        <v>0.11</v>
      </c>
      <c r="N322" s="129">
        <v>141.19999999999999</v>
      </c>
      <c r="O322" s="129">
        <v>9.4499999999999993</v>
      </c>
      <c r="P322" s="129">
        <v>15.9</v>
      </c>
      <c r="Q322" s="129">
        <v>0.64</v>
      </c>
      <c r="R322" s="17"/>
      <c r="S322" s="17"/>
    </row>
    <row r="323" spans="1:19" s="354" customFormat="1" ht="14.25" customHeight="1" x14ac:dyDescent="0.25">
      <c r="A323" s="546">
        <v>174</v>
      </c>
      <c r="B323" s="542" t="s">
        <v>24</v>
      </c>
      <c r="C323" s="476"/>
      <c r="D323" s="477"/>
      <c r="E323" s="227">
        <v>250</v>
      </c>
      <c r="F323" s="572">
        <f>6.11*E323/200</f>
        <v>7.6375000000000002</v>
      </c>
      <c r="G323" s="572">
        <v>13.42</v>
      </c>
      <c r="H323" s="572">
        <v>40.549999999999997</v>
      </c>
      <c r="I323" s="572">
        <v>314.33999999999997</v>
      </c>
      <c r="J323" s="572">
        <v>0</v>
      </c>
      <c r="K323" s="572">
        <f>1.17*E323/200</f>
        <v>1.4624999999999999</v>
      </c>
      <c r="L323" s="572">
        <v>0</v>
      </c>
      <c r="M323" s="572">
        <v>0</v>
      </c>
      <c r="N323" s="572">
        <f>133.77*E323/200</f>
        <v>167.21250000000001</v>
      </c>
      <c r="O323" s="572">
        <v>0</v>
      </c>
      <c r="P323" s="572">
        <f>20.3*E323/200</f>
        <v>25.375</v>
      </c>
      <c r="Q323" s="572">
        <v>0.47</v>
      </c>
      <c r="R323" s="18"/>
      <c r="S323" s="18"/>
    </row>
    <row r="324" spans="1:19" s="354" customFormat="1" ht="12.75" customHeight="1" x14ac:dyDescent="0.25">
      <c r="A324" s="471"/>
      <c r="B324" s="478"/>
      <c r="C324" s="479"/>
      <c r="D324" s="480"/>
      <c r="E324" s="169">
        <f>E323*4/100</f>
        <v>10</v>
      </c>
      <c r="F324" s="471"/>
      <c r="G324" s="471"/>
      <c r="H324" s="471"/>
      <c r="I324" s="471"/>
      <c r="J324" s="471"/>
      <c r="K324" s="471"/>
      <c r="L324" s="471"/>
      <c r="M324" s="471"/>
      <c r="N324" s="471"/>
      <c r="O324" s="471"/>
      <c r="P324" s="471"/>
      <c r="Q324" s="471"/>
      <c r="R324" s="19"/>
      <c r="S324" s="17"/>
    </row>
    <row r="325" spans="1:19" s="354" customFormat="1" ht="15.75" customHeight="1" x14ac:dyDescent="0.25">
      <c r="A325" s="102">
        <v>209</v>
      </c>
      <c r="B325" s="571" t="s">
        <v>25</v>
      </c>
      <c r="C325" s="440"/>
      <c r="D325" s="441"/>
      <c r="E325" s="351">
        <v>40</v>
      </c>
      <c r="F325" s="351">
        <v>7.62</v>
      </c>
      <c r="G325" s="351">
        <v>6.9</v>
      </c>
      <c r="H325" s="351">
        <v>0.42</v>
      </c>
      <c r="I325" s="351">
        <v>94</v>
      </c>
      <c r="J325" s="351">
        <v>0.01</v>
      </c>
      <c r="K325" s="351">
        <v>0</v>
      </c>
      <c r="L325" s="351">
        <v>0</v>
      </c>
      <c r="M325" s="351">
        <v>0</v>
      </c>
      <c r="N325" s="351">
        <v>33</v>
      </c>
      <c r="O325" s="351">
        <v>115.2</v>
      </c>
      <c r="P325" s="351">
        <v>7.2</v>
      </c>
      <c r="Q325" s="351">
        <v>1.5</v>
      </c>
      <c r="R325" s="19"/>
      <c r="S325" s="17"/>
    </row>
    <row r="326" spans="1:19" s="354" customFormat="1" ht="16.5" customHeight="1" x14ac:dyDescent="0.25">
      <c r="A326" s="116">
        <v>379</v>
      </c>
      <c r="B326" s="637" t="s">
        <v>26</v>
      </c>
      <c r="C326" s="440"/>
      <c r="D326" s="441"/>
      <c r="E326" s="171">
        <v>200</v>
      </c>
      <c r="F326" s="172">
        <v>3.58</v>
      </c>
      <c r="G326" s="172">
        <v>2.68</v>
      </c>
      <c r="H326" s="172">
        <v>23.34</v>
      </c>
      <c r="I326" s="172">
        <v>151.80000000000001</v>
      </c>
      <c r="J326" s="172">
        <v>0.02</v>
      </c>
      <c r="K326" s="172">
        <v>1.3</v>
      </c>
      <c r="L326" s="172">
        <v>0</v>
      </c>
      <c r="M326" s="172">
        <v>0</v>
      </c>
      <c r="N326" s="172">
        <v>125.78</v>
      </c>
      <c r="O326" s="172">
        <v>14</v>
      </c>
      <c r="P326" s="172">
        <v>14</v>
      </c>
      <c r="Q326" s="172">
        <v>0.13</v>
      </c>
      <c r="R326" s="21"/>
      <c r="S326" s="21"/>
    </row>
    <row r="327" spans="1:19" s="354" customFormat="1" ht="16.5" customHeight="1" x14ac:dyDescent="0.25">
      <c r="A327" s="116" t="s">
        <v>27</v>
      </c>
      <c r="B327" s="448" t="s">
        <v>28</v>
      </c>
      <c r="C327" s="440"/>
      <c r="D327" s="441"/>
      <c r="E327" s="99">
        <v>45</v>
      </c>
      <c r="F327" s="117">
        <f>2.26*E327/30</f>
        <v>3.3899999999999997</v>
      </c>
      <c r="G327" s="117">
        <f>0.23*E327/30</f>
        <v>0.34499999999999997</v>
      </c>
      <c r="H327" s="117">
        <f>14.66*E327/30</f>
        <v>21.990000000000002</v>
      </c>
      <c r="I327" s="117">
        <f>68.86*E327/30</f>
        <v>103.28999999999999</v>
      </c>
      <c r="J327" s="117">
        <v>0</v>
      </c>
      <c r="K327" s="117">
        <v>0</v>
      </c>
      <c r="L327" s="117">
        <v>0</v>
      </c>
      <c r="M327" s="117">
        <v>0</v>
      </c>
      <c r="N327" s="117">
        <f>12.97*E327/30</f>
        <v>19.454999999999998</v>
      </c>
      <c r="O327" s="117">
        <v>0</v>
      </c>
      <c r="P327" s="117">
        <f>2.83*E327/30</f>
        <v>4.2450000000000001</v>
      </c>
      <c r="Q327" s="117">
        <f>0.74*E327/30</f>
        <v>1.1099999999999999</v>
      </c>
      <c r="R327" s="21"/>
      <c r="S327" s="21"/>
    </row>
    <row r="328" spans="1:19" s="354" customFormat="1" ht="15.75" customHeight="1" x14ac:dyDescent="0.25">
      <c r="A328" s="117"/>
      <c r="B328" s="641" t="s">
        <v>29</v>
      </c>
      <c r="C328" s="472"/>
      <c r="D328" s="473"/>
      <c r="E328" s="173">
        <f>SUM(E323:E327)+5+15+30</f>
        <v>595</v>
      </c>
      <c r="F328" s="117">
        <f t="shared" ref="F328:Q328" si="55">SUM(F322:F327)</f>
        <v>27.927500000000002</v>
      </c>
      <c r="G328" s="117">
        <f t="shared" si="55"/>
        <v>31.674999999999997</v>
      </c>
      <c r="H328" s="117">
        <f t="shared" si="55"/>
        <v>101.25</v>
      </c>
      <c r="I328" s="117">
        <f t="shared" si="55"/>
        <v>821.28</v>
      </c>
      <c r="J328" s="117">
        <f t="shared" si="55"/>
        <v>7.0000000000000007E-2</v>
      </c>
      <c r="K328" s="117">
        <f t="shared" si="55"/>
        <v>2.8725000000000001</v>
      </c>
      <c r="L328" s="117">
        <f t="shared" si="55"/>
        <v>0.03</v>
      </c>
      <c r="M328" s="117">
        <f t="shared" si="55"/>
        <v>0.11</v>
      </c>
      <c r="N328" s="117">
        <f t="shared" si="55"/>
        <v>486.64749999999998</v>
      </c>
      <c r="O328" s="117">
        <f t="shared" si="55"/>
        <v>138.65</v>
      </c>
      <c r="P328" s="117">
        <f t="shared" si="55"/>
        <v>66.72</v>
      </c>
      <c r="Q328" s="117">
        <f t="shared" si="55"/>
        <v>3.8499999999999996</v>
      </c>
      <c r="R328" s="23"/>
      <c r="S328" s="23"/>
    </row>
    <row r="329" spans="1:19" s="354" customFormat="1" ht="15.75" customHeight="1" x14ac:dyDescent="0.25">
      <c r="A329" s="118"/>
      <c r="B329" s="642" t="s">
        <v>30</v>
      </c>
      <c r="C329" s="446"/>
      <c r="D329" s="447"/>
      <c r="E329" s="174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3"/>
      <c r="S329" s="3"/>
    </row>
    <row r="330" spans="1:19" s="354" customFormat="1" ht="15.75" customHeight="1" x14ac:dyDescent="0.25">
      <c r="A330" s="328"/>
      <c r="B330" s="331"/>
      <c r="C330" s="332"/>
      <c r="D330" s="333"/>
      <c r="E330" s="329"/>
      <c r="F330" s="330"/>
      <c r="G330" s="330"/>
      <c r="H330" s="330"/>
      <c r="I330" s="330"/>
      <c r="J330" s="330"/>
      <c r="K330" s="330"/>
      <c r="L330" s="330"/>
      <c r="M330" s="330"/>
      <c r="N330" s="330"/>
      <c r="O330" s="330"/>
      <c r="P330" s="330"/>
      <c r="Q330" s="330"/>
      <c r="R330" s="3"/>
      <c r="S330" s="3"/>
    </row>
    <row r="331" spans="1:19" s="354" customFormat="1" ht="15.75" customHeight="1" x14ac:dyDescent="0.25">
      <c r="A331" s="119">
        <v>338</v>
      </c>
      <c r="B331" s="637" t="s">
        <v>31</v>
      </c>
      <c r="C331" s="440"/>
      <c r="D331" s="441"/>
      <c r="E331" s="176">
        <v>300</v>
      </c>
      <c r="F331" s="177">
        <f>1.2*E331/300</f>
        <v>1.2</v>
      </c>
      <c r="G331" s="178">
        <f>1.2*E331/300</f>
        <v>1.2</v>
      </c>
      <c r="H331" s="177">
        <f>29.4*E331/300</f>
        <v>29.4</v>
      </c>
      <c r="I331" s="177">
        <f>132*E331/300</f>
        <v>132</v>
      </c>
      <c r="J331" s="177">
        <v>0</v>
      </c>
      <c r="K331" s="177">
        <f>30*E331/300</f>
        <v>30</v>
      </c>
      <c r="L331" s="177">
        <v>0</v>
      </c>
      <c r="M331" s="177">
        <v>0</v>
      </c>
      <c r="N331" s="177">
        <f>48*E331/300</f>
        <v>48</v>
      </c>
      <c r="O331" s="177">
        <v>0</v>
      </c>
      <c r="P331" s="177">
        <f>27*E331/300</f>
        <v>27</v>
      </c>
      <c r="Q331" s="177">
        <f>6.6*E331/300</f>
        <v>6.6</v>
      </c>
      <c r="R331" s="3"/>
      <c r="S331" s="3"/>
    </row>
    <row r="332" spans="1:19" s="354" customFormat="1" ht="15.75" customHeight="1" x14ac:dyDescent="0.25">
      <c r="A332" s="120"/>
      <c r="B332" s="643" t="s">
        <v>32</v>
      </c>
      <c r="C332" s="472"/>
      <c r="D332" s="473"/>
      <c r="E332" s="179">
        <f>E331</f>
        <v>300</v>
      </c>
      <c r="F332" s="177">
        <f>SUM(F331)</f>
        <v>1.2</v>
      </c>
      <c r="G332" s="177">
        <f>SUM(G331)</f>
        <v>1.2</v>
      </c>
      <c r="H332" s="177">
        <f>SUM(H331)</f>
        <v>29.4</v>
      </c>
      <c r="I332" s="177">
        <f>SUM(I331)</f>
        <v>132</v>
      </c>
      <c r="J332" s="177">
        <f>J331</f>
        <v>0</v>
      </c>
      <c r="K332" s="177">
        <f t="shared" ref="K332:Q332" si="56">SUM(K331)</f>
        <v>30</v>
      </c>
      <c r="L332" s="177">
        <f t="shared" si="56"/>
        <v>0</v>
      </c>
      <c r="M332" s="177">
        <f t="shared" si="56"/>
        <v>0</v>
      </c>
      <c r="N332" s="177">
        <f t="shared" si="56"/>
        <v>48</v>
      </c>
      <c r="O332" s="177">
        <f t="shared" si="56"/>
        <v>0</v>
      </c>
      <c r="P332" s="177">
        <f t="shared" si="56"/>
        <v>27</v>
      </c>
      <c r="Q332" s="177">
        <f t="shared" si="56"/>
        <v>6.6</v>
      </c>
      <c r="R332" s="24"/>
      <c r="S332" s="24"/>
    </row>
    <row r="333" spans="1:19" s="354" customFormat="1" ht="15.75" customHeight="1" x14ac:dyDescent="0.25">
      <c r="A333" s="121"/>
      <c r="B333" s="522" t="s">
        <v>33</v>
      </c>
      <c r="C333" s="446"/>
      <c r="D333" s="447"/>
      <c r="E333" s="107"/>
      <c r="F333" s="180"/>
      <c r="G333" s="181"/>
      <c r="H333" s="356"/>
      <c r="I333" s="180"/>
      <c r="J333" s="356"/>
      <c r="K333" s="180"/>
      <c r="L333" s="356"/>
      <c r="M333" s="180"/>
      <c r="N333" s="356"/>
      <c r="O333" s="180"/>
      <c r="P333" s="356"/>
      <c r="Q333" s="356"/>
      <c r="R333" s="1"/>
      <c r="S333" s="1"/>
    </row>
    <row r="334" spans="1:19" s="354" customFormat="1" ht="15.75" customHeight="1" x14ac:dyDescent="0.25">
      <c r="A334" s="122" t="s">
        <v>27</v>
      </c>
      <c r="B334" s="448" t="s">
        <v>217</v>
      </c>
      <c r="C334" s="440"/>
      <c r="D334" s="441"/>
      <c r="E334" s="137">
        <v>50</v>
      </c>
      <c r="F334" s="182">
        <f>1.2*E334/100</f>
        <v>0.6</v>
      </c>
      <c r="G334" s="182">
        <f>0*E334/100</f>
        <v>0</v>
      </c>
      <c r="H334" s="182">
        <f>4.6*E334/100</f>
        <v>2.2999999999999998</v>
      </c>
      <c r="I334" s="182">
        <f>23.2*E334/100</f>
        <v>11.6</v>
      </c>
      <c r="J334" s="182">
        <f>0*E334/100</f>
        <v>0</v>
      </c>
      <c r="K334" s="182">
        <f>25*E334/100</f>
        <v>12.5</v>
      </c>
      <c r="L334" s="182">
        <v>0</v>
      </c>
      <c r="M334" s="182">
        <v>0</v>
      </c>
      <c r="N334" s="182">
        <f>14*E334/100</f>
        <v>7</v>
      </c>
      <c r="O334" s="182">
        <v>0</v>
      </c>
      <c r="P334" s="182">
        <f>9.34*E334/100</f>
        <v>4.67</v>
      </c>
      <c r="Q334" s="182">
        <f>0.9*E334/100</f>
        <v>0.45</v>
      </c>
      <c r="R334" s="1"/>
      <c r="S334" s="1"/>
    </row>
    <row r="335" spans="1:19" s="354" customFormat="1" ht="15" customHeight="1" x14ac:dyDescent="0.25">
      <c r="A335" s="115">
        <v>88</v>
      </c>
      <c r="B335" s="544" t="s">
        <v>34</v>
      </c>
      <c r="C335" s="440"/>
      <c r="D335" s="441"/>
      <c r="E335" s="94">
        <v>250</v>
      </c>
      <c r="F335" s="149">
        <v>1.76</v>
      </c>
      <c r="G335" s="149">
        <f>4.95*E335/250</f>
        <v>4.95</v>
      </c>
      <c r="H335" s="149">
        <f>11.5*E335/250</f>
        <v>11.5</v>
      </c>
      <c r="I335" s="149">
        <f>97.59*E335/250</f>
        <v>97.59</v>
      </c>
      <c r="J335" s="149" t="s">
        <v>35</v>
      </c>
      <c r="K335" s="149">
        <f>22*E335/250</f>
        <v>22</v>
      </c>
      <c r="L335" s="149">
        <v>0</v>
      </c>
      <c r="M335" s="149">
        <f>22*E335/250</f>
        <v>22</v>
      </c>
      <c r="N335" s="149">
        <f>50*E335/250</f>
        <v>50</v>
      </c>
      <c r="O335" s="183">
        <v>0</v>
      </c>
      <c r="P335" s="149">
        <f>34.25*E335/250</f>
        <v>34.25</v>
      </c>
      <c r="Q335" s="149">
        <f>0.75*E335/250</f>
        <v>0.75</v>
      </c>
      <c r="R335" s="1"/>
      <c r="S335" s="1"/>
    </row>
    <row r="336" spans="1:19" s="354" customFormat="1" ht="12.75" customHeight="1" x14ac:dyDescent="0.25">
      <c r="A336" s="577">
        <v>245</v>
      </c>
      <c r="B336" s="657" t="s">
        <v>36</v>
      </c>
      <c r="C336" s="476"/>
      <c r="D336" s="477"/>
      <c r="E336" s="184">
        <v>120</v>
      </c>
      <c r="F336" s="635">
        <f>29.02*(E336+E337)/(120+100)</f>
        <v>29.021055272727274</v>
      </c>
      <c r="G336" s="635">
        <f>21.86*(E336+E337)/(120+100)</f>
        <v>21.860794909090909</v>
      </c>
      <c r="H336" s="635">
        <f>6.58*(E336+E337)/(120+100)</f>
        <v>6.5802392727272725</v>
      </c>
      <c r="I336" s="635">
        <f>339.14*(E336+E337)/(120+100)</f>
        <v>339.15233236363639</v>
      </c>
      <c r="J336" s="635">
        <f>0*(E336+E337)/(120+50)</f>
        <v>0</v>
      </c>
      <c r="K336" s="635">
        <f>0.02*(E336+E337)/(120+100)</f>
        <v>2.0000727272727274E-2</v>
      </c>
      <c r="L336" s="635">
        <v>0</v>
      </c>
      <c r="M336" s="635">
        <v>0</v>
      </c>
      <c r="N336" s="635">
        <f>66.8*(E336+E337)/(120+100)</f>
        <v>66.802429090909087</v>
      </c>
      <c r="O336" s="656">
        <v>0</v>
      </c>
      <c r="P336" s="635">
        <f>41*(E336+E337)/(120+100)</f>
        <v>41.001490909090904</v>
      </c>
      <c r="Q336" s="635">
        <f>1.98*(E336+E337)/(120+100)</f>
        <v>1.9800720000000001</v>
      </c>
      <c r="R336" s="3"/>
      <c r="S336" s="3"/>
    </row>
    <row r="337" spans="1:34" s="354" customFormat="1" ht="12.75" customHeight="1" x14ac:dyDescent="0.25">
      <c r="A337" s="471"/>
      <c r="B337" s="640"/>
      <c r="C337" s="479"/>
      <c r="D337" s="480"/>
      <c r="E337" s="176">
        <f>E336*83.34/100</f>
        <v>100.00800000000001</v>
      </c>
      <c r="F337" s="603"/>
      <c r="G337" s="603"/>
      <c r="H337" s="603"/>
      <c r="I337" s="603"/>
      <c r="J337" s="603"/>
      <c r="K337" s="603"/>
      <c r="L337" s="603"/>
      <c r="M337" s="603"/>
      <c r="N337" s="603"/>
      <c r="O337" s="603"/>
      <c r="P337" s="603"/>
      <c r="Q337" s="603"/>
      <c r="R337" s="3"/>
      <c r="S337" s="3"/>
    </row>
    <row r="338" spans="1:34" s="354" customFormat="1" ht="12.75" customHeight="1" x14ac:dyDescent="0.25">
      <c r="A338" s="533">
        <v>204</v>
      </c>
      <c r="B338" s="554" t="s">
        <v>37</v>
      </c>
      <c r="C338" s="476"/>
      <c r="D338" s="477"/>
      <c r="E338" s="158">
        <v>220</v>
      </c>
      <c r="F338" s="533">
        <f>13.54*E338/200</f>
        <v>14.893999999999998</v>
      </c>
      <c r="G338" s="533">
        <f>15.3*E338/200</f>
        <v>16.829999999999998</v>
      </c>
      <c r="H338" s="533">
        <f>34.11*E338/200</f>
        <v>37.521000000000001</v>
      </c>
      <c r="I338" s="533">
        <v>250.45</v>
      </c>
      <c r="J338" s="533">
        <f>0*E338/200</f>
        <v>0</v>
      </c>
      <c r="K338" s="533">
        <f>0.22*E338/200</f>
        <v>0.24199999999999999</v>
      </c>
      <c r="L338" s="533">
        <f>0*E338/200</f>
        <v>0</v>
      </c>
      <c r="M338" s="533">
        <f>0*E338/200</f>
        <v>0</v>
      </c>
      <c r="N338" s="533">
        <f>295.2*E338/200</f>
        <v>324.72000000000003</v>
      </c>
      <c r="O338" s="533">
        <f>0*E338/200</f>
        <v>0</v>
      </c>
      <c r="P338" s="533">
        <f>20.32*E338/200</f>
        <v>22.351999999999997</v>
      </c>
      <c r="Q338" s="533">
        <f>1.23*E338/200</f>
        <v>1.3530000000000002</v>
      </c>
      <c r="R338" s="17"/>
      <c r="S338" s="17"/>
    </row>
    <row r="339" spans="1:34" s="354" customFormat="1" ht="12.75" customHeight="1" x14ac:dyDescent="0.25">
      <c r="A339" s="471"/>
      <c r="B339" s="478"/>
      <c r="C339" s="479"/>
      <c r="D339" s="480"/>
      <c r="E339" s="349">
        <f>E338*16/100</f>
        <v>35.200000000000003</v>
      </c>
      <c r="F339" s="471"/>
      <c r="G339" s="471"/>
      <c r="H339" s="471"/>
      <c r="I339" s="471"/>
      <c r="J339" s="471"/>
      <c r="K339" s="471"/>
      <c r="L339" s="471"/>
      <c r="M339" s="471"/>
      <c r="N339" s="471"/>
      <c r="O339" s="471"/>
      <c r="P339" s="471"/>
      <c r="Q339" s="471"/>
      <c r="R339" s="1"/>
      <c r="S339" s="1"/>
    </row>
    <row r="340" spans="1:34" s="354" customFormat="1" ht="15.75" customHeight="1" x14ac:dyDescent="0.25">
      <c r="A340" s="106">
        <v>342</v>
      </c>
      <c r="B340" s="439" t="s">
        <v>38</v>
      </c>
      <c r="C340" s="440"/>
      <c r="D340" s="441"/>
      <c r="E340" s="100">
        <v>200</v>
      </c>
      <c r="F340" s="117">
        <v>0.06</v>
      </c>
      <c r="G340" s="117">
        <v>0.09</v>
      </c>
      <c r="H340" s="117">
        <v>32.01</v>
      </c>
      <c r="I340" s="117">
        <v>133</v>
      </c>
      <c r="J340" s="117">
        <v>0</v>
      </c>
      <c r="K340" s="117">
        <v>2.25</v>
      </c>
      <c r="L340" s="117">
        <v>0</v>
      </c>
      <c r="M340" s="117">
        <v>0</v>
      </c>
      <c r="N340" s="117">
        <v>17</v>
      </c>
      <c r="O340" s="117">
        <v>0</v>
      </c>
      <c r="P340" s="117">
        <v>9</v>
      </c>
      <c r="Q340" s="117">
        <v>2.2000000000000002</v>
      </c>
      <c r="R340" s="19"/>
      <c r="S340" s="17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spans="1:34" s="354" customFormat="1" ht="15.75" customHeight="1" x14ac:dyDescent="0.25">
      <c r="A341" s="106" t="s">
        <v>27</v>
      </c>
      <c r="B341" s="439" t="s">
        <v>28</v>
      </c>
      <c r="C341" s="440"/>
      <c r="D341" s="441"/>
      <c r="E341" s="99">
        <v>45</v>
      </c>
      <c r="F341" s="117">
        <f>2.26*E341/30</f>
        <v>3.3899999999999997</v>
      </c>
      <c r="G341" s="117">
        <f>0.23*E341/30</f>
        <v>0.34499999999999997</v>
      </c>
      <c r="H341" s="117">
        <f>14.66*E341/30</f>
        <v>21.990000000000002</v>
      </c>
      <c r="I341" s="117">
        <f>68.86*E341/30</f>
        <v>103.28999999999999</v>
      </c>
      <c r="J341" s="117">
        <v>0</v>
      </c>
      <c r="K341" s="117">
        <v>0</v>
      </c>
      <c r="L341" s="117">
        <v>0</v>
      </c>
      <c r="M341" s="117">
        <v>0</v>
      </c>
      <c r="N341" s="117">
        <f>12.97*E341/30</f>
        <v>19.454999999999998</v>
      </c>
      <c r="O341" s="117">
        <v>0</v>
      </c>
      <c r="P341" s="117">
        <f>2.83*E341/30</f>
        <v>4.2450000000000001</v>
      </c>
      <c r="Q341" s="117">
        <f>0.74*E341/30</f>
        <v>1.1099999999999999</v>
      </c>
      <c r="R341" s="19"/>
      <c r="S341" s="17"/>
    </row>
    <row r="342" spans="1:34" s="354" customFormat="1" ht="15.75" customHeight="1" x14ac:dyDescent="0.25">
      <c r="A342" s="106" t="s">
        <v>27</v>
      </c>
      <c r="B342" s="439" t="s">
        <v>39</v>
      </c>
      <c r="C342" s="440"/>
      <c r="D342" s="441"/>
      <c r="E342" s="99">
        <v>120</v>
      </c>
      <c r="F342" s="117">
        <f>4.03*E342/50</f>
        <v>9.6720000000000006</v>
      </c>
      <c r="G342" s="117">
        <f>0.5*E342/50</f>
        <v>1.2</v>
      </c>
      <c r="H342" s="117">
        <f>22.36*E342/50</f>
        <v>53.663999999999994</v>
      </c>
      <c r="I342" s="117">
        <f>98.86*E342/50</f>
        <v>237.26400000000001</v>
      </c>
      <c r="J342" s="117">
        <v>0</v>
      </c>
      <c r="K342" s="117">
        <v>0</v>
      </c>
      <c r="L342" s="117">
        <v>0</v>
      </c>
      <c r="M342" s="117">
        <v>0</v>
      </c>
      <c r="N342" s="117">
        <f>17.59*E342/50</f>
        <v>42.216000000000001</v>
      </c>
      <c r="O342" s="117">
        <v>0</v>
      </c>
      <c r="P342" s="117">
        <f>1.89*E342/50</f>
        <v>4.5359999999999996</v>
      </c>
      <c r="Q342" s="117">
        <f>0.88*E342/50</f>
        <v>2.1120000000000001</v>
      </c>
      <c r="R342" s="17"/>
      <c r="S342" s="17"/>
    </row>
    <row r="343" spans="1:34" s="354" customFormat="1" ht="15.75" customHeight="1" x14ac:dyDescent="0.25">
      <c r="A343" s="106"/>
      <c r="B343" s="442" t="s">
        <v>40</v>
      </c>
      <c r="C343" s="472"/>
      <c r="D343" s="473"/>
      <c r="E343" s="99">
        <f t="shared" ref="E343:Q343" si="57">SUM(E334:E342)</f>
        <v>1140.2080000000001</v>
      </c>
      <c r="F343" s="117">
        <f t="shared" si="57"/>
        <v>59.397055272727272</v>
      </c>
      <c r="G343" s="117">
        <f t="shared" si="57"/>
        <v>45.275794909090912</v>
      </c>
      <c r="H343" s="117">
        <f t="shared" si="57"/>
        <v>165.56523927272727</v>
      </c>
      <c r="I343" s="117">
        <f t="shared" si="57"/>
        <v>1172.3463323636365</v>
      </c>
      <c r="J343" s="117">
        <f t="shared" si="57"/>
        <v>0</v>
      </c>
      <c r="K343" s="117">
        <f t="shared" si="57"/>
        <v>37.012000727272728</v>
      </c>
      <c r="L343" s="117">
        <f t="shared" si="57"/>
        <v>0</v>
      </c>
      <c r="M343" s="117">
        <f t="shared" si="57"/>
        <v>22</v>
      </c>
      <c r="N343" s="117">
        <f t="shared" si="57"/>
        <v>527.19342909090904</v>
      </c>
      <c r="O343" s="117">
        <f t="shared" si="57"/>
        <v>0</v>
      </c>
      <c r="P343" s="117">
        <f t="shared" si="57"/>
        <v>120.0544909090909</v>
      </c>
      <c r="Q343" s="117">
        <f t="shared" si="57"/>
        <v>9.9550720000000013</v>
      </c>
      <c r="R343" s="17"/>
      <c r="S343" s="17"/>
    </row>
    <row r="344" spans="1:34" s="354" customFormat="1" ht="18" customHeight="1" x14ac:dyDescent="0.25">
      <c r="A344" s="350"/>
      <c r="B344" s="658" t="s">
        <v>41</v>
      </c>
      <c r="C344" s="659"/>
      <c r="D344" s="660"/>
      <c r="E344" s="107"/>
      <c r="F344" s="180"/>
      <c r="G344" s="356"/>
      <c r="H344" s="356"/>
      <c r="I344" s="185"/>
      <c r="J344" s="180"/>
      <c r="K344" s="356"/>
      <c r="L344" s="180"/>
      <c r="M344" s="356"/>
      <c r="N344" s="180"/>
      <c r="O344" s="186"/>
      <c r="P344" s="180"/>
      <c r="Q344" s="356"/>
      <c r="R344" s="17"/>
      <c r="S344" s="17"/>
    </row>
    <row r="345" spans="1:34" s="354" customFormat="1" ht="15.75" hidden="1" customHeight="1" x14ac:dyDescent="0.25">
      <c r="A345" s="124"/>
      <c r="B345" s="28"/>
      <c r="C345" s="28"/>
      <c r="D345" s="28"/>
      <c r="E345" s="187"/>
      <c r="F345" s="188"/>
      <c r="G345" s="189"/>
      <c r="H345" s="189"/>
      <c r="I345" s="188"/>
      <c r="J345" s="188"/>
      <c r="K345" s="189"/>
      <c r="L345" s="188"/>
      <c r="M345" s="189"/>
      <c r="N345" s="188"/>
      <c r="O345" s="189"/>
      <c r="P345" s="188"/>
      <c r="Q345" s="189"/>
      <c r="R345" s="29"/>
      <c r="S345" s="29"/>
    </row>
    <row r="346" spans="1:34" s="354" customFormat="1" ht="15.75" customHeight="1" x14ac:dyDescent="0.25">
      <c r="A346" s="106" t="s">
        <v>27</v>
      </c>
      <c r="B346" s="436" t="s">
        <v>221</v>
      </c>
      <c r="C346" s="440"/>
      <c r="D346" s="441"/>
      <c r="E346" s="102">
        <v>30</v>
      </c>
      <c r="F346" s="102">
        <v>1.25</v>
      </c>
      <c r="G346" s="102">
        <v>1.48</v>
      </c>
      <c r="H346" s="102">
        <v>34.89</v>
      </c>
      <c r="I346" s="102">
        <v>160.75</v>
      </c>
      <c r="J346" s="102">
        <v>0</v>
      </c>
      <c r="K346" s="102">
        <v>0.1</v>
      </c>
      <c r="L346" s="102">
        <v>0</v>
      </c>
      <c r="M346" s="102">
        <v>0</v>
      </c>
      <c r="N346" s="102">
        <v>6.8</v>
      </c>
      <c r="O346" s="102">
        <v>0</v>
      </c>
      <c r="P346" s="102">
        <v>4.53</v>
      </c>
      <c r="Q346" s="102">
        <v>0.9</v>
      </c>
      <c r="R346" s="17"/>
      <c r="S346" s="17"/>
    </row>
    <row r="347" spans="1:34" s="354" customFormat="1" ht="15.75" customHeight="1" x14ac:dyDescent="0.25">
      <c r="A347" s="115">
        <v>385</v>
      </c>
      <c r="B347" s="439" t="s">
        <v>42</v>
      </c>
      <c r="C347" s="440"/>
      <c r="D347" s="441"/>
      <c r="E347" s="95">
        <v>200</v>
      </c>
      <c r="F347" s="347">
        <f>5.8*E347/200</f>
        <v>5.8</v>
      </c>
      <c r="G347" s="347">
        <f>5*E347/200</f>
        <v>5</v>
      </c>
      <c r="H347" s="347">
        <f>9.6*E347/200</f>
        <v>9.6</v>
      </c>
      <c r="I347" s="347">
        <f>107.8*E347/200</f>
        <v>107.8</v>
      </c>
      <c r="J347" s="347">
        <v>0</v>
      </c>
      <c r="K347" s="347">
        <f>2.6*E347/200</f>
        <v>2.6</v>
      </c>
      <c r="L347" s="129">
        <v>0</v>
      </c>
      <c r="M347" s="129">
        <v>0</v>
      </c>
      <c r="N347" s="129">
        <f>240*E347/200</f>
        <v>240</v>
      </c>
      <c r="O347" s="129">
        <v>0</v>
      </c>
      <c r="P347" s="129">
        <f>28*E347/200</f>
        <v>28</v>
      </c>
      <c r="Q347" s="129">
        <f>0.2*E347/200</f>
        <v>0.2</v>
      </c>
      <c r="R347" s="17"/>
      <c r="S347" s="17"/>
    </row>
    <row r="348" spans="1:34" s="354" customFormat="1" ht="15.75" customHeight="1" x14ac:dyDescent="0.25">
      <c r="A348" s="125"/>
      <c r="B348" s="442" t="s">
        <v>43</v>
      </c>
      <c r="C348" s="472"/>
      <c r="D348" s="473"/>
      <c r="E348" s="96">
        <f t="shared" ref="E348:Q348" si="58">SUM(E346:E347)</f>
        <v>230</v>
      </c>
      <c r="F348" s="117">
        <f t="shared" si="58"/>
        <v>7.05</v>
      </c>
      <c r="G348" s="117">
        <f t="shared" si="58"/>
        <v>6.48</v>
      </c>
      <c r="H348" s="357">
        <f t="shared" si="58"/>
        <v>44.49</v>
      </c>
      <c r="I348" s="191">
        <f t="shared" si="58"/>
        <v>268.55</v>
      </c>
      <c r="J348" s="357">
        <f t="shared" si="58"/>
        <v>0</v>
      </c>
      <c r="K348" s="357">
        <f t="shared" si="58"/>
        <v>2.7</v>
      </c>
      <c r="L348" s="357">
        <f t="shared" si="58"/>
        <v>0</v>
      </c>
      <c r="M348" s="357">
        <f t="shared" si="58"/>
        <v>0</v>
      </c>
      <c r="N348" s="357">
        <f t="shared" si="58"/>
        <v>246.8</v>
      </c>
      <c r="O348" s="357">
        <f t="shared" si="58"/>
        <v>0</v>
      </c>
      <c r="P348" s="357">
        <f t="shared" si="58"/>
        <v>32.53</v>
      </c>
      <c r="Q348" s="357">
        <f t="shared" si="58"/>
        <v>1.1000000000000001</v>
      </c>
      <c r="R348" s="17"/>
      <c r="S348" s="17"/>
    </row>
    <row r="349" spans="1:34" s="354" customFormat="1" ht="15.75" customHeight="1" x14ac:dyDescent="0.25">
      <c r="A349" s="126"/>
      <c r="B349" s="522" t="s">
        <v>44</v>
      </c>
      <c r="C349" s="446"/>
      <c r="D349" s="447"/>
      <c r="E349" s="97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3"/>
      <c r="R349" s="17"/>
      <c r="S349" s="17"/>
    </row>
    <row r="350" spans="1:34" s="354" customFormat="1" ht="15.75" customHeight="1" x14ac:dyDescent="0.25">
      <c r="A350" s="348">
        <v>55</v>
      </c>
      <c r="B350" s="506" t="s">
        <v>233</v>
      </c>
      <c r="C350" s="563"/>
      <c r="D350" s="564"/>
      <c r="E350" s="276">
        <v>100</v>
      </c>
      <c r="F350" s="149">
        <f>2*E350/100</f>
        <v>2</v>
      </c>
      <c r="G350" s="149">
        <f>6*E350/100</f>
        <v>6</v>
      </c>
      <c r="H350" s="149">
        <f>7.7*E350/100</f>
        <v>7.7</v>
      </c>
      <c r="I350" s="149">
        <f>93*E350/100</f>
        <v>93</v>
      </c>
      <c r="J350" s="346"/>
      <c r="K350" s="346">
        <f>8.5*E350/100</f>
        <v>8.5</v>
      </c>
      <c r="L350" s="346">
        <f>0*E350/100</f>
        <v>0</v>
      </c>
      <c r="M350" s="149">
        <f>0*E350/100</f>
        <v>0</v>
      </c>
      <c r="N350" s="149">
        <f>30.35*E350/100</f>
        <v>30.35</v>
      </c>
      <c r="O350" s="149">
        <f>0*E350/100</f>
        <v>0</v>
      </c>
      <c r="P350" s="346">
        <f>18.8*E350/100</f>
        <v>18.8</v>
      </c>
      <c r="Q350" s="149">
        <f>1.07*E350/100</f>
        <v>1.07</v>
      </c>
      <c r="R350" s="29"/>
      <c r="S350" s="29"/>
    </row>
    <row r="351" spans="1:34" s="354" customFormat="1" ht="14.25" customHeight="1" x14ac:dyDescent="0.25">
      <c r="A351" s="667">
        <v>256</v>
      </c>
      <c r="B351" s="668" t="s">
        <v>219</v>
      </c>
      <c r="C351" s="669"/>
      <c r="D351" s="670"/>
      <c r="E351" s="279">
        <v>100</v>
      </c>
      <c r="F351" s="662">
        <f>33*E351/100</f>
        <v>33</v>
      </c>
      <c r="G351" s="662">
        <f>13.4*E351/100</f>
        <v>13.4</v>
      </c>
      <c r="H351" s="662">
        <f>6.2*E351/100</f>
        <v>6.2</v>
      </c>
      <c r="I351" s="662">
        <f>277.4*E351/100</f>
        <v>277.39999999999998</v>
      </c>
      <c r="J351" s="662">
        <f>0*E351/100</f>
        <v>0</v>
      </c>
      <c r="K351" s="662">
        <f>0.54*E351/100</f>
        <v>0.54</v>
      </c>
      <c r="L351" s="662">
        <f>0*E351/100</f>
        <v>0</v>
      </c>
      <c r="M351" s="662">
        <f>0*E351/100</f>
        <v>0</v>
      </c>
      <c r="N351" s="662">
        <f>42.45*E351/100</f>
        <v>42.45</v>
      </c>
      <c r="O351" s="662">
        <f>0*E351/100</f>
        <v>0</v>
      </c>
      <c r="P351" s="662">
        <f>46.12*E351/100</f>
        <v>46.12</v>
      </c>
      <c r="Q351" s="662">
        <f>4.89*E351/100</f>
        <v>4.8899999999999997</v>
      </c>
      <c r="R351" s="19"/>
      <c r="S351" s="29"/>
    </row>
    <row r="352" spans="1:34" s="354" customFormat="1" ht="10.5" customHeight="1" x14ac:dyDescent="0.25">
      <c r="A352" s="663"/>
      <c r="B352" s="671"/>
      <c r="C352" s="672"/>
      <c r="D352" s="673"/>
      <c r="E352" s="327">
        <f>E351*100/100</f>
        <v>100</v>
      </c>
      <c r="F352" s="674"/>
      <c r="G352" s="663"/>
      <c r="H352" s="663"/>
      <c r="I352" s="663"/>
      <c r="J352" s="663"/>
      <c r="K352" s="663"/>
      <c r="L352" s="663"/>
      <c r="M352" s="663"/>
      <c r="N352" s="663"/>
      <c r="O352" s="663"/>
      <c r="P352" s="663"/>
      <c r="Q352" s="663"/>
      <c r="R352" s="29"/>
      <c r="S352" s="29"/>
    </row>
    <row r="353" spans="1:19" s="354" customFormat="1" ht="15.75" customHeight="1" x14ac:dyDescent="0.25">
      <c r="A353" s="277">
        <v>302</v>
      </c>
      <c r="B353" s="680" t="s">
        <v>46</v>
      </c>
      <c r="C353" s="681"/>
      <c r="D353" s="682"/>
      <c r="E353" s="278">
        <v>200</v>
      </c>
      <c r="F353" s="357">
        <v>10.5</v>
      </c>
      <c r="G353" s="357">
        <v>11.34</v>
      </c>
      <c r="H353" s="357">
        <v>45.77</v>
      </c>
      <c r="I353" s="357">
        <v>332.5</v>
      </c>
      <c r="J353" s="357">
        <v>0</v>
      </c>
      <c r="K353" s="357">
        <v>0.15</v>
      </c>
      <c r="L353" s="357">
        <v>0.88</v>
      </c>
      <c r="M353" s="357">
        <v>0.88</v>
      </c>
      <c r="N353" s="357">
        <v>31.33</v>
      </c>
      <c r="O353" s="357">
        <v>32.06</v>
      </c>
      <c r="P353" s="357">
        <v>166.86</v>
      </c>
      <c r="Q353" s="357">
        <v>5.61</v>
      </c>
      <c r="R353" s="29"/>
      <c r="S353" s="29"/>
    </row>
    <row r="354" spans="1:19" s="354" customFormat="1" ht="15.75" customHeight="1" x14ac:dyDescent="0.25">
      <c r="A354" s="106" t="s">
        <v>27</v>
      </c>
      <c r="B354" s="439" t="s">
        <v>28</v>
      </c>
      <c r="C354" s="440"/>
      <c r="D354" s="441"/>
      <c r="E354" s="99">
        <v>45</v>
      </c>
      <c r="F354" s="117">
        <f>2.26*E354/30</f>
        <v>3.3899999999999997</v>
      </c>
      <c r="G354" s="117">
        <f>0.23*E354/30</f>
        <v>0.34499999999999997</v>
      </c>
      <c r="H354" s="117">
        <f>14.66*E354/30</f>
        <v>21.990000000000002</v>
      </c>
      <c r="I354" s="117">
        <f>68.86*E354/30</f>
        <v>103.28999999999999</v>
      </c>
      <c r="J354" s="117">
        <v>0</v>
      </c>
      <c r="K354" s="117">
        <v>0</v>
      </c>
      <c r="L354" s="117">
        <v>0</v>
      </c>
      <c r="M354" s="117">
        <v>0</v>
      </c>
      <c r="N354" s="117">
        <f>12.97*E354/30</f>
        <v>19.454999999999998</v>
      </c>
      <c r="O354" s="117">
        <v>0</v>
      </c>
      <c r="P354" s="117">
        <f>2.83*E354/30</f>
        <v>4.2450000000000001</v>
      </c>
      <c r="Q354" s="117">
        <f>0.74*E354/30</f>
        <v>1.1099999999999999</v>
      </c>
      <c r="R354" s="29"/>
      <c r="S354" s="29"/>
    </row>
    <row r="355" spans="1:19" s="354" customFormat="1" ht="15.75" customHeight="1" x14ac:dyDescent="0.25">
      <c r="A355" s="106" t="s">
        <v>27</v>
      </c>
      <c r="B355" s="439" t="s">
        <v>39</v>
      </c>
      <c r="C355" s="440"/>
      <c r="D355" s="441"/>
      <c r="E355" s="99">
        <v>75</v>
      </c>
      <c r="F355" s="117">
        <f>4.03*E355/50</f>
        <v>6.0449999999999999</v>
      </c>
      <c r="G355" s="117">
        <f>0.5*E355/50</f>
        <v>0.75</v>
      </c>
      <c r="H355" s="117">
        <f>22.36*E355/50</f>
        <v>33.54</v>
      </c>
      <c r="I355" s="117">
        <f>98.86*E355/50</f>
        <v>148.29</v>
      </c>
      <c r="J355" s="117">
        <v>0</v>
      </c>
      <c r="K355" s="117">
        <v>0</v>
      </c>
      <c r="L355" s="117">
        <v>0</v>
      </c>
      <c r="M355" s="117">
        <v>0</v>
      </c>
      <c r="N355" s="117">
        <f>17.59*E355/50</f>
        <v>26.385000000000002</v>
      </c>
      <c r="O355" s="117">
        <v>0</v>
      </c>
      <c r="P355" s="117">
        <f>1.89*E355/50</f>
        <v>2.835</v>
      </c>
      <c r="Q355" s="117">
        <f>0.88*E355/50</f>
        <v>1.32</v>
      </c>
      <c r="R355" s="29"/>
      <c r="S355" s="29"/>
    </row>
    <row r="356" spans="1:19" s="354" customFormat="1" ht="15.75" customHeight="1" x14ac:dyDescent="0.25">
      <c r="A356" s="106">
        <v>389</v>
      </c>
      <c r="B356" s="540" t="s">
        <v>47</v>
      </c>
      <c r="C356" s="440"/>
      <c r="D356" s="441"/>
      <c r="E356" s="100">
        <v>200</v>
      </c>
      <c r="F356" s="117">
        <v>1</v>
      </c>
      <c r="G356" s="117">
        <v>0</v>
      </c>
      <c r="H356" s="117">
        <v>20.2</v>
      </c>
      <c r="I356" s="117">
        <v>84.8</v>
      </c>
      <c r="J356" s="117">
        <v>0</v>
      </c>
      <c r="K356" s="117">
        <v>4</v>
      </c>
      <c r="L356" s="117">
        <v>0</v>
      </c>
      <c r="M356" s="117">
        <v>0</v>
      </c>
      <c r="N356" s="117">
        <v>14</v>
      </c>
      <c r="O356" s="117">
        <v>0</v>
      </c>
      <c r="P356" s="117">
        <v>8</v>
      </c>
      <c r="Q356" s="117">
        <v>2.8</v>
      </c>
      <c r="R356" s="29"/>
      <c r="S356" s="29"/>
    </row>
    <row r="357" spans="1:19" s="354" customFormat="1" ht="15.75" customHeight="1" x14ac:dyDescent="0.25">
      <c r="A357" s="106"/>
      <c r="B357" s="442" t="s">
        <v>48</v>
      </c>
      <c r="C357" s="472"/>
      <c r="D357" s="473"/>
      <c r="E357" s="100">
        <f t="shared" ref="E357:Q357" si="59">SUM(E350:E356)</f>
        <v>820</v>
      </c>
      <c r="F357" s="193">
        <f t="shared" si="59"/>
        <v>55.935000000000002</v>
      </c>
      <c r="G357" s="117">
        <f t="shared" si="59"/>
        <v>31.834999999999997</v>
      </c>
      <c r="H357" s="193">
        <f t="shared" si="59"/>
        <v>135.39999999999998</v>
      </c>
      <c r="I357" s="195">
        <f t="shared" si="59"/>
        <v>1039.28</v>
      </c>
      <c r="J357" s="117">
        <f t="shared" si="59"/>
        <v>0</v>
      </c>
      <c r="K357" s="193">
        <f t="shared" si="59"/>
        <v>13.19</v>
      </c>
      <c r="L357" s="193">
        <f t="shared" si="59"/>
        <v>0.88</v>
      </c>
      <c r="M357" s="193">
        <f t="shared" si="59"/>
        <v>0.88</v>
      </c>
      <c r="N357" s="193">
        <f t="shared" si="59"/>
        <v>163.97</v>
      </c>
      <c r="O357" s="193">
        <f t="shared" si="59"/>
        <v>32.06</v>
      </c>
      <c r="P357" s="193">
        <f t="shared" si="59"/>
        <v>246.86000000000004</v>
      </c>
      <c r="Q357" s="193">
        <f t="shared" si="59"/>
        <v>16.8</v>
      </c>
      <c r="R357" s="17"/>
      <c r="S357" s="17"/>
    </row>
    <row r="358" spans="1:19" s="354" customFormat="1" ht="14.25" customHeight="1" x14ac:dyDescent="0.25">
      <c r="A358" s="106"/>
      <c r="B358" s="683" t="s">
        <v>49</v>
      </c>
      <c r="C358" s="446"/>
      <c r="D358" s="447"/>
      <c r="E358" s="100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29"/>
      <c r="S358" s="29"/>
    </row>
    <row r="359" spans="1:19" s="354" customFormat="1" ht="18.75" customHeight="1" x14ac:dyDescent="0.25">
      <c r="A359" s="106">
        <v>386</v>
      </c>
      <c r="B359" s="439" t="s">
        <v>50</v>
      </c>
      <c r="C359" s="440"/>
      <c r="D359" s="441"/>
      <c r="E359" s="101">
        <v>200</v>
      </c>
      <c r="F359" s="117">
        <f>5.6*E359/200</f>
        <v>5.6</v>
      </c>
      <c r="G359" s="117">
        <f>5*E359/200</f>
        <v>5</v>
      </c>
      <c r="H359" s="117">
        <f>8.2*E359/200</f>
        <v>8.1999999999999993</v>
      </c>
      <c r="I359" s="195">
        <f>100.2*E359/200</f>
        <v>100.2</v>
      </c>
      <c r="J359" s="117">
        <f>0*E359/200</f>
        <v>0</v>
      </c>
      <c r="K359" s="117">
        <f>1.4*E359/200</f>
        <v>1.4</v>
      </c>
      <c r="L359" s="117">
        <f>0*E359/200</f>
        <v>0</v>
      </c>
      <c r="M359" s="117">
        <f>0*E359/200</f>
        <v>0</v>
      </c>
      <c r="N359" s="117">
        <f>240*E359/200</f>
        <v>240</v>
      </c>
      <c r="O359" s="117">
        <f>0*E359/200</f>
        <v>0</v>
      </c>
      <c r="P359" s="117">
        <f>28*E359/200</f>
        <v>28</v>
      </c>
      <c r="Q359" s="117">
        <f>0.2*E359/200</f>
        <v>0.2</v>
      </c>
      <c r="R359" s="17"/>
      <c r="S359" s="17"/>
    </row>
    <row r="360" spans="1:19" s="354" customFormat="1" ht="18.75" customHeight="1" x14ac:dyDescent="0.25">
      <c r="A360" s="127" t="s">
        <v>27</v>
      </c>
      <c r="B360" s="436" t="s">
        <v>222</v>
      </c>
      <c r="C360" s="440"/>
      <c r="D360" s="441"/>
      <c r="E360" s="102">
        <v>30</v>
      </c>
      <c r="F360" s="196">
        <v>2.25</v>
      </c>
      <c r="G360" s="196">
        <v>3.54</v>
      </c>
      <c r="H360" s="196">
        <v>7.08</v>
      </c>
      <c r="I360" s="196">
        <v>69</v>
      </c>
      <c r="J360" s="196">
        <v>0</v>
      </c>
      <c r="K360" s="117">
        <v>0</v>
      </c>
      <c r="L360" s="196">
        <v>0</v>
      </c>
      <c r="M360" s="196">
        <v>0</v>
      </c>
      <c r="N360" s="196">
        <f>6.8*E360/45</f>
        <v>4.5333333333333332</v>
      </c>
      <c r="O360" s="196">
        <v>0</v>
      </c>
      <c r="P360" s="196">
        <f>4.53*E360/45</f>
        <v>3.02</v>
      </c>
      <c r="Q360" s="196">
        <f>0.9*E360/45</f>
        <v>0.6</v>
      </c>
      <c r="R360" s="29"/>
      <c r="S360" s="29"/>
    </row>
    <row r="361" spans="1:19" s="354" customFormat="1" ht="19.5" customHeight="1" x14ac:dyDescent="0.25">
      <c r="A361" s="106"/>
      <c r="B361" s="442" t="s">
        <v>52</v>
      </c>
      <c r="C361" s="675"/>
      <c r="D361" s="676"/>
      <c r="E361" s="100">
        <f t="shared" ref="E361:J361" si="60">SUM(E359:E360)</f>
        <v>230</v>
      </c>
      <c r="F361" s="117">
        <f t="shared" si="60"/>
        <v>7.85</v>
      </c>
      <c r="G361" s="117">
        <f t="shared" si="60"/>
        <v>8.5399999999999991</v>
      </c>
      <c r="H361" s="117">
        <f t="shared" si="60"/>
        <v>15.28</v>
      </c>
      <c r="I361" s="192">
        <f t="shared" si="60"/>
        <v>169.2</v>
      </c>
      <c r="J361" s="117">
        <f t="shared" si="60"/>
        <v>0</v>
      </c>
      <c r="K361" s="117">
        <v>0.02</v>
      </c>
      <c r="L361" s="117">
        <f>SUM(L359:L360)</f>
        <v>0</v>
      </c>
      <c r="M361" s="117">
        <v>1.05</v>
      </c>
      <c r="N361" s="117">
        <v>33</v>
      </c>
      <c r="O361" s="117">
        <v>8.6999999999999993</v>
      </c>
      <c r="P361" s="117">
        <f t="shared" ref="P361:Q361" si="61">SUM(P359:P360)</f>
        <v>31.02</v>
      </c>
      <c r="Q361" s="193">
        <f t="shared" si="61"/>
        <v>0.8</v>
      </c>
      <c r="R361" s="17"/>
      <c r="S361" s="17"/>
    </row>
    <row r="362" spans="1:19" s="354" customFormat="1" ht="15.75" customHeight="1" x14ac:dyDescent="0.25">
      <c r="A362" s="106"/>
      <c r="B362" s="436" t="s">
        <v>53</v>
      </c>
      <c r="C362" s="437"/>
      <c r="D362" s="438"/>
      <c r="E362" s="103">
        <v>8</v>
      </c>
      <c r="F362" s="117"/>
      <c r="G362" s="117"/>
      <c r="H362" s="117"/>
      <c r="I362" s="192"/>
      <c r="J362" s="117"/>
      <c r="K362" s="117"/>
      <c r="L362" s="117"/>
      <c r="M362" s="117"/>
      <c r="N362" s="117">
        <v>29.44</v>
      </c>
      <c r="O362" s="117"/>
      <c r="P362" s="117">
        <v>1.76</v>
      </c>
      <c r="Q362" s="193">
        <v>0.23</v>
      </c>
      <c r="R362" s="17"/>
      <c r="S362" s="17"/>
    </row>
    <row r="363" spans="1:19" s="354" customFormat="1" ht="15.75" customHeight="1" x14ac:dyDescent="0.25">
      <c r="A363" s="106"/>
      <c r="B363" s="442" t="s">
        <v>237</v>
      </c>
      <c r="C363" s="472"/>
      <c r="D363" s="473"/>
      <c r="E363" s="93">
        <f t="shared" ref="E363:M363" si="62">SUM(E328,E331,E343,E348,E357,E361)</f>
        <v>3315.2080000000001</v>
      </c>
      <c r="F363" s="22">
        <f t="shared" si="62"/>
        <v>159.35955527272725</v>
      </c>
      <c r="G363" s="22">
        <f t="shared" si="62"/>
        <v>125.00579490909089</v>
      </c>
      <c r="H363" s="22">
        <f t="shared" si="62"/>
        <v>491.38523927272723</v>
      </c>
      <c r="I363" s="30">
        <f t="shared" si="62"/>
        <v>3602.6563323636365</v>
      </c>
      <c r="J363" s="22">
        <f t="shared" si="62"/>
        <v>7.0000000000000007E-2</v>
      </c>
      <c r="K363" s="22">
        <f t="shared" si="62"/>
        <v>85.79450072727272</v>
      </c>
      <c r="L363" s="22">
        <f t="shared" si="62"/>
        <v>0.91</v>
      </c>
      <c r="M363" s="22">
        <f t="shared" si="62"/>
        <v>24.04</v>
      </c>
      <c r="N363" s="22">
        <f>SUM(N328,N331,N343,N348,N357,N361,N362)</f>
        <v>1535.050929090909</v>
      </c>
      <c r="O363" s="22">
        <f>SUM(O328,O331,O343,O348,O357,O361)</f>
        <v>179.41</v>
      </c>
      <c r="P363" s="22">
        <f>SUM(P328,P331,P343,P348,P357,P361)</f>
        <v>524.18449090909098</v>
      </c>
      <c r="Q363" s="31">
        <f>SUM(Q328,Q331,Q343,Q348,Q357,Q361)</f>
        <v>39.105072</v>
      </c>
      <c r="R363" s="17"/>
      <c r="S363" s="17"/>
    </row>
    <row r="364" spans="1:19" s="354" customFormat="1" ht="14.25" customHeight="1" x14ac:dyDescent="0.25">
      <c r="A364" s="236"/>
      <c r="B364" s="304"/>
      <c r="C364" s="353"/>
      <c r="D364" s="353"/>
      <c r="E364" s="305"/>
      <c r="F364" s="234"/>
      <c r="G364" s="234"/>
      <c r="H364" s="234"/>
      <c r="I364" s="234"/>
      <c r="J364" s="234"/>
      <c r="K364" s="234"/>
      <c r="L364" s="234"/>
      <c r="M364" s="234"/>
      <c r="N364" s="234"/>
      <c r="O364" s="234"/>
      <c r="P364" s="234"/>
      <c r="Q364" s="234"/>
      <c r="R364" s="221"/>
      <c r="S364" s="221"/>
    </row>
    <row r="365" spans="1:19" s="380" customFormat="1" ht="21.75" customHeight="1" x14ac:dyDescent="0.25">
      <c r="A365" s="792" t="s">
        <v>164</v>
      </c>
      <c r="B365" s="793"/>
      <c r="C365" s="793"/>
      <c r="D365" s="793"/>
      <c r="E365" s="793"/>
      <c r="F365" s="793"/>
      <c r="G365" s="793"/>
      <c r="H365" s="793"/>
      <c r="I365" s="793"/>
      <c r="J365" s="793"/>
      <c r="K365" s="793"/>
      <c r="L365" s="793"/>
      <c r="M365" s="793"/>
      <c r="N365" s="793"/>
      <c r="O365" s="793"/>
      <c r="P365" s="793"/>
      <c r="Q365" s="793"/>
      <c r="R365" s="794"/>
      <c r="S365" s="379"/>
    </row>
    <row r="366" spans="1:19" s="354" customFormat="1" ht="33.75" customHeight="1" x14ac:dyDescent="0.25">
      <c r="A366" s="684" t="s">
        <v>3</v>
      </c>
      <c r="B366" s="786" t="s">
        <v>4</v>
      </c>
      <c r="C366" s="787"/>
      <c r="D366" s="788"/>
      <c r="E366" s="664" t="s">
        <v>5</v>
      </c>
      <c r="F366" s="665" t="s">
        <v>6</v>
      </c>
      <c r="G366" s="434"/>
      <c r="H366" s="435"/>
      <c r="I366" s="664" t="s">
        <v>7</v>
      </c>
      <c r="J366" s="665" t="s">
        <v>8</v>
      </c>
      <c r="K366" s="434"/>
      <c r="L366" s="434"/>
      <c r="M366" s="435"/>
      <c r="N366" s="665" t="s">
        <v>9</v>
      </c>
      <c r="O366" s="434"/>
      <c r="P366" s="434"/>
      <c r="Q366" s="435"/>
      <c r="R366" s="300"/>
      <c r="S366" s="1"/>
    </row>
    <row r="367" spans="1:19" s="354" customFormat="1" ht="15.75" customHeight="1" x14ac:dyDescent="0.25">
      <c r="A367" s="624"/>
      <c r="B367" s="789"/>
      <c r="C367" s="790"/>
      <c r="D367" s="791"/>
      <c r="E367" s="619"/>
      <c r="F367" s="239" t="s">
        <v>10</v>
      </c>
      <c r="G367" s="239" t="s">
        <v>11</v>
      </c>
      <c r="H367" s="239" t="s">
        <v>12</v>
      </c>
      <c r="I367" s="619"/>
      <c r="J367" s="90" t="s">
        <v>13</v>
      </c>
      <c r="K367" s="90" t="s">
        <v>14</v>
      </c>
      <c r="L367" s="90" t="s">
        <v>15</v>
      </c>
      <c r="M367" s="240" t="s">
        <v>16</v>
      </c>
      <c r="N367" s="241" t="s">
        <v>17</v>
      </c>
      <c r="O367" s="90" t="s">
        <v>18</v>
      </c>
      <c r="P367" s="90" t="s">
        <v>19</v>
      </c>
      <c r="Q367" s="240" t="s">
        <v>20</v>
      </c>
      <c r="R367" s="300"/>
      <c r="S367" s="1"/>
    </row>
    <row r="368" spans="1:19" s="354" customFormat="1" ht="12.75" customHeight="1" x14ac:dyDescent="0.25">
      <c r="A368" s="301">
        <v>1</v>
      </c>
      <c r="B368" s="666">
        <v>2</v>
      </c>
      <c r="C368" s="434"/>
      <c r="D368" s="435"/>
      <c r="E368" s="242">
        <v>3</v>
      </c>
      <c r="F368" s="242">
        <v>4</v>
      </c>
      <c r="G368" s="242">
        <v>5</v>
      </c>
      <c r="H368" s="242">
        <v>6</v>
      </c>
      <c r="I368" s="243">
        <v>7</v>
      </c>
      <c r="J368" s="242">
        <v>8</v>
      </c>
      <c r="K368" s="242">
        <v>9</v>
      </c>
      <c r="L368" s="242">
        <v>10</v>
      </c>
      <c r="M368" s="244">
        <v>11</v>
      </c>
      <c r="N368" s="242">
        <v>12</v>
      </c>
      <c r="O368" s="242">
        <v>13</v>
      </c>
      <c r="P368" s="242">
        <v>14</v>
      </c>
      <c r="Q368" s="245">
        <v>15</v>
      </c>
      <c r="R368" s="302"/>
      <c r="S368" s="37"/>
    </row>
    <row r="369" spans="1:19" s="354" customFormat="1" ht="15.75" customHeight="1" x14ac:dyDescent="0.25">
      <c r="A369" s="272"/>
      <c r="B369" s="474" t="s">
        <v>21</v>
      </c>
      <c r="C369" s="617"/>
      <c r="D369" s="618"/>
      <c r="E369" s="162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300"/>
      <c r="S369" s="1"/>
    </row>
    <row r="370" spans="1:19" s="354" customFormat="1" ht="15.75" customHeight="1" x14ac:dyDescent="0.25">
      <c r="A370" s="133">
        <v>3</v>
      </c>
      <c r="B370" s="433" t="s">
        <v>56</v>
      </c>
      <c r="C370" s="434"/>
      <c r="D370" s="435"/>
      <c r="E370" s="246" t="s">
        <v>23</v>
      </c>
      <c r="F370" s="247">
        <v>5.8</v>
      </c>
      <c r="G370" s="247">
        <v>8.3000000000000007</v>
      </c>
      <c r="H370" s="247">
        <v>14.83</v>
      </c>
      <c r="I370" s="247">
        <v>157</v>
      </c>
      <c r="J370" s="247">
        <v>0.04</v>
      </c>
      <c r="K370" s="247">
        <v>0.04</v>
      </c>
      <c r="L370" s="247">
        <v>0.03</v>
      </c>
      <c r="M370" s="247">
        <v>0.11</v>
      </c>
      <c r="N370" s="247">
        <v>139.19999999999999</v>
      </c>
      <c r="O370" s="247">
        <v>9.4499999999999993</v>
      </c>
      <c r="P370" s="247">
        <v>96</v>
      </c>
      <c r="Q370" s="247">
        <v>0.49</v>
      </c>
      <c r="R370" s="248"/>
      <c r="S370" s="18"/>
    </row>
    <row r="371" spans="1:19" s="354" customFormat="1" ht="12.75" customHeight="1" x14ac:dyDescent="0.25">
      <c r="A371" s="686">
        <v>183</v>
      </c>
      <c r="B371" s="628" t="s">
        <v>234</v>
      </c>
      <c r="C371" s="688"/>
      <c r="D371" s="689"/>
      <c r="E371" s="249">
        <v>250</v>
      </c>
      <c r="F371" s="661">
        <f>9.1*E371/200</f>
        <v>11.375</v>
      </c>
      <c r="G371" s="661">
        <f>5.74*E371/200</f>
        <v>7.1749999999999998</v>
      </c>
      <c r="H371" s="661">
        <f>45.03*E371/200</f>
        <v>56.287500000000001</v>
      </c>
      <c r="I371" s="661">
        <f>269*E371/200</f>
        <v>336.25</v>
      </c>
      <c r="J371" s="661">
        <v>0</v>
      </c>
      <c r="K371" s="661">
        <f>1.64*E371/200</f>
        <v>2.0499999999999998</v>
      </c>
      <c r="L371" s="661">
        <v>0</v>
      </c>
      <c r="M371" s="661">
        <v>0</v>
      </c>
      <c r="N371" s="661">
        <f>181.48*E371/200</f>
        <v>226.85</v>
      </c>
      <c r="O371" s="661">
        <v>0</v>
      </c>
      <c r="P371" s="661">
        <f>99.23*E371/200</f>
        <v>124.03749999999999</v>
      </c>
      <c r="Q371" s="661">
        <f>2.88*E371/200</f>
        <v>3.6</v>
      </c>
      <c r="R371" s="248"/>
      <c r="S371" s="18"/>
    </row>
    <row r="372" spans="1:19" s="354" customFormat="1" ht="15" customHeight="1" x14ac:dyDescent="0.25">
      <c r="A372" s="687"/>
      <c r="B372" s="690"/>
      <c r="C372" s="691"/>
      <c r="D372" s="692"/>
      <c r="E372" s="250">
        <f>E371*5/100</f>
        <v>12.5</v>
      </c>
      <c r="F372" s="619"/>
      <c r="G372" s="619"/>
      <c r="H372" s="619"/>
      <c r="I372" s="619"/>
      <c r="J372" s="619"/>
      <c r="K372" s="619"/>
      <c r="L372" s="619"/>
      <c r="M372" s="619"/>
      <c r="N372" s="619"/>
      <c r="O372" s="619"/>
      <c r="P372" s="619"/>
      <c r="Q372" s="619"/>
      <c r="R372" s="248"/>
      <c r="S372" s="18"/>
    </row>
    <row r="373" spans="1:19" s="354" customFormat="1" ht="15.75" customHeight="1" x14ac:dyDescent="0.25">
      <c r="A373" s="122" t="s">
        <v>27</v>
      </c>
      <c r="B373" s="433" t="s">
        <v>28</v>
      </c>
      <c r="C373" s="434"/>
      <c r="D373" s="435"/>
      <c r="E373" s="169">
        <v>45</v>
      </c>
      <c r="F373" s="215">
        <f>2.26*E373/30</f>
        <v>3.3899999999999997</v>
      </c>
      <c r="G373" s="215">
        <f>0.23*E373/30</f>
        <v>0.34499999999999997</v>
      </c>
      <c r="H373" s="215">
        <f>14.66*E373/30</f>
        <v>21.990000000000002</v>
      </c>
      <c r="I373" s="215">
        <f>68.86*E373/30</f>
        <v>103.28999999999999</v>
      </c>
      <c r="J373" s="215">
        <v>0</v>
      </c>
      <c r="K373" s="215">
        <v>0</v>
      </c>
      <c r="L373" s="215">
        <v>0</v>
      </c>
      <c r="M373" s="215">
        <v>0</v>
      </c>
      <c r="N373" s="215">
        <f>12.97*E373/30</f>
        <v>19.454999999999998</v>
      </c>
      <c r="O373" s="215">
        <v>0</v>
      </c>
      <c r="P373" s="215">
        <f>2.83*E373/30</f>
        <v>4.2450000000000001</v>
      </c>
      <c r="Q373" s="215">
        <f>0.74*E373/30</f>
        <v>1.1099999999999999</v>
      </c>
      <c r="R373" s="248"/>
      <c r="S373" s="18"/>
    </row>
    <row r="374" spans="1:19" s="354" customFormat="1" ht="15.75" customHeight="1" x14ac:dyDescent="0.25">
      <c r="A374" s="158">
        <v>382</v>
      </c>
      <c r="B374" s="693" t="s">
        <v>58</v>
      </c>
      <c r="C374" s="434"/>
      <c r="D374" s="435"/>
      <c r="E374" s="251">
        <v>200</v>
      </c>
      <c r="F374" s="252">
        <v>3.76</v>
      </c>
      <c r="G374" s="252">
        <v>3.2</v>
      </c>
      <c r="H374" s="252">
        <v>17.57</v>
      </c>
      <c r="I374" s="252">
        <v>114.12</v>
      </c>
      <c r="J374" s="252">
        <v>0</v>
      </c>
      <c r="K374" s="252">
        <v>1.58</v>
      </c>
      <c r="L374" s="252">
        <v>0</v>
      </c>
      <c r="M374" s="252">
        <v>0</v>
      </c>
      <c r="N374" s="252">
        <v>152.22</v>
      </c>
      <c r="O374" s="252">
        <v>0</v>
      </c>
      <c r="P374" s="252">
        <v>21.34</v>
      </c>
      <c r="Q374" s="252">
        <v>0.47</v>
      </c>
      <c r="R374" s="253"/>
      <c r="S374" s="29"/>
    </row>
    <row r="375" spans="1:19" s="354" customFormat="1" ht="16.5" customHeight="1" x14ac:dyDescent="0.25">
      <c r="A375" s="122"/>
      <c r="B375" s="614" t="s">
        <v>29</v>
      </c>
      <c r="C375" s="615"/>
      <c r="D375" s="616"/>
      <c r="E375" s="162">
        <f>SUM(E370:E374)+5+15+30</f>
        <v>557.5</v>
      </c>
      <c r="F375" s="215">
        <f t="shared" ref="F375:Q375" si="63">SUM(F370:F374)</f>
        <v>24.325000000000003</v>
      </c>
      <c r="G375" s="215">
        <f t="shared" si="63"/>
        <v>19.020000000000003</v>
      </c>
      <c r="H375" s="215">
        <f t="shared" si="63"/>
        <v>110.67750000000001</v>
      </c>
      <c r="I375" s="215">
        <f t="shared" si="63"/>
        <v>710.66</v>
      </c>
      <c r="J375" s="215">
        <f t="shared" si="63"/>
        <v>0.04</v>
      </c>
      <c r="K375" s="215">
        <f t="shared" si="63"/>
        <v>3.67</v>
      </c>
      <c r="L375" s="215">
        <f t="shared" si="63"/>
        <v>0.03</v>
      </c>
      <c r="M375" s="215">
        <f t="shared" si="63"/>
        <v>0.11</v>
      </c>
      <c r="N375" s="215">
        <f t="shared" si="63"/>
        <v>537.72499999999991</v>
      </c>
      <c r="O375" s="215">
        <f t="shared" si="63"/>
        <v>9.4499999999999993</v>
      </c>
      <c r="P375" s="215">
        <f t="shared" si="63"/>
        <v>245.6225</v>
      </c>
      <c r="Q375" s="215">
        <f t="shared" si="63"/>
        <v>5.669999999999999</v>
      </c>
      <c r="R375" s="254"/>
      <c r="S375" s="17"/>
    </row>
    <row r="376" spans="1:19" s="354" customFormat="1" ht="15.75" customHeight="1" x14ac:dyDescent="0.25">
      <c r="A376" s="272"/>
      <c r="B376" s="474" t="s">
        <v>30</v>
      </c>
      <c r="C376" s="617"/>
      <c r="D376" s="618"/>
      <c r="E376" s="162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300"/>
      <c r="S376" s="1"/>
    </row>
    <row r="377" spans="1:19" s="354" customFormat="1" ht="14.25" customHeight="1" x14ac:dyDescent="0.25">
      <c r="A377" s="133">
        <v>338</v>
      </c>
      <c r="B377" s="433" t="s">
        <v>31</v>
      </c>
      <c r="C377" s="434"/>
      <c r="D377" s="435"/>
      <c r="E377" s="122">
        <v>300</v>
      </c>
      <c r="F377" s="177">
        <f>1.2*E377/300</f>
        <v>1.2</v>
      </c>
      <c r="G377" s="178">
        <f>1.2*E377/300</f>
        <v>1.2</v>
      </c>
      <c r="H377" s="177">
        <f>29.4*E377/300</f>
        <v>29.4</v>
      </c>
      <c r="I377" s="177">
        <f>132*E377/300</f>
        <v>132</v>
      </c>
      <c r="J377" s="177">
        <v>0</v>
      </c>
      <c r="K377" s="177">
        <f>30*E377/300</f>
        <v>30</v>
      </c>
      <c r="L377" s="177">
        <v>0</v>
      </c>
      <c r="M377" s="177">
        <v>0</v>
      </c>
      <c r="N377" s="177">
        <f>48*E377/300</f>
        <v>48</v>
      </c>
      <c r="O377" s="177">
        <v>0</v>
      </c>
      <c r="P377" s="177">
        <f>27*E377/300</f>
        <v>27</v>
      </c>
      <c r="Q377" s="177">
        <f>6.6*E377/300</f>
        <v>6.6</v>
      </c>
      <c r="R377" s="253"/>
      <c r="S377" s="29"/>
    </row>
    <row r="378" spans="1:19" s="354" customFormat="1" ht="15.75" customHeight="1" x14ac:dyDescent="0.25">
      <c r="A378" s="145"/>
      <c r="B378" s="614" t="s">
        <v>32</v>
      </c>
      <c r="C378" s="629"/>
      <c r="D378" s="630"/>
      <c r="E378" s="162">
        <f>E377</f>
        <v>300</v>
      </c>
      <c r="F378" s="215">
        <f t="shared" ref="F378:I378" si="64">SUM(F377)</f>
        <v>1.2</v>
      </c>
      <c r="G378" s="215">
        <f t="shared" si="64"/>
        <v>1.2</v>
      </c>
      <c r="H378" s="215">
        <f t="shared" si="64"/>
        <v>29.4</v>
      </c>
      <c r="I378" s="215">
        <f t="shared" si="64"/>
        <v>132</v>
      </c>
      <c r="J378" s="215">
        <f>J377</f>
        <v>0</v>
      </c>
      <c r="K378" s="215">
        <f t="shared" ref="K378:Q378" si="65">SUM(K377)</f>
        <v>30</v>
      </c>
      <c r="L378" s="215">
        <f t="shared" si="65"/>
        <v>0</v>
      </c>
      <c r="M378" s="215">
        <f t="shared" si="65"/>
        <v>0</v>
      </c>
      <c r="N378" s="215">
        <f t="shared" si="65"/>
        <v>48</v>
      </c>
      <c r="O378" s="215">
        <f t="shared" si="65"/>
        <v>0</v>
      </c>
      <c r="P378" s="215">
        <f t="shared" si="65"/>
        <v>27</v>
      </c>
      <c r="Q378" s="215">
        <f t="shared" si="65"/>
        <v>6.6</v>
      </c>
      <c r="R378" s="254"/>
      <c r="S378" s="17"/>
    </row>
    <row r="379" spans="1:19" s="354" customFormat="1" ht="15.75" customHeight="1" x14ac:dyDescent="0.25">
      <c r="A379" s="272"/>
      <c r="B379" s="474" t="s">
        <v>33</v>
      </c>
      <c r="C379" s="617"/>
      <c r="D379" s="618"/>
      <c r="E379" s="162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53"/>
      <c r="S379" s="29"/>
    </row>
    <row r="380" spans="1:19" s="380" customFormat="1" ht="15.75" customHeight="1" x14ac:dyDescent="0.25">
      <c r="A380" s="375">
        <v>76</v>
      </c>
      <c r="B380" s="783" t="s">
        <v>225</v>
      </c>
      <c r="C380" s="784"/>
      <c r="D380" s="785"/>
      <c r="E380" s="376">
        <v>80</v>
      </c>
      <c r="F380" s="377">
        <v>8</v>
      </c>
      <c r="G380" s="377">
        <v>10.7</v>
      </c>
      <c r="H380" s="377">
        <v>2.62</v>
      </c>
      <c r="I380" s="377">
        <v>139.19999999999999</v>
      </c>
      <c r="J380" s="377" t="s">
        <v>35</v>
      </c>
      <c r="K380" s="377">
        <v>112</v>
      </c>
      <c r="L380" s="377">
        <f>0*E380/100</f>
        <v>0</v>
      </c>
      <c r="M380" s="377">
        <f>0*E380/100</f>
        <v>0</v>
      </c>
      <c r="N380" s="377">
        <v>33.9</v>
      </c>
      <c r="O380" s="377">
        <f>0*E380/100</f>
        <v>0</v>
      </c>
      <c r="P380" s="377">
        <v>16.48</v>
      </c>
      <c r="Q380" s="377">
        <v>4</v>
      </c>
      <c r="R380" s="378"/>
      <c r="S380" s="379"/>
    </row>
    <row r="381" spans="1:19" s="380" customFormat="1" ht="15.75" customHeight="1" x14ac:dyDescent="0.25">
      <c r="A381" s="745">
        <v>82</v>
      </c>
      <c r="B381" s="747" t="s">
        <v>231</v>
      </c>
      <c r="C381" s="748"/>
      <c r="D381" s="749"/>
      <c r="E381" s="376">
        <v>250</v>
      </c>
      <c r="F381" s="739">
        <v>2.16</v>
      </c>
      <c r="G381" s="739">
        <v>5.9</v>
      </c>
      <c r="H381" s="739">
        <v>13.1</v>
      </c>
      <c r="I381" s="739">
        <v>124.5</v>
      </c>
      <c r="J381" s="739">
        <f>0*E382/250</f>
        <v>0</v>
      </c>
      <c r="K381" s="739">
        <v>12.81</v>
      </c>
      <c r="L381" s="739">
        <f>0*E382/250</f>
        <v>0</v>
      </c>
      <c r="M381" s="739">
        <f>0*E382/250</f>
        <v>0</v>
      </c>
      <c r="N381" s="739">
        <v>59.67</v>
      </c>
      <c r="O381" s="739">
        <f>0*E382/250</f>
        <v>0</v>
      </c>
      <c r="P381" s="739">
        <v>31.35</v>
      </c>
      <c r="Q381" s="739">
        <v>1.47</v>
      </c>
      <c r="R381" s="386"/>
      <c r="S381" s="379"/>
    </row>
    <row r="382" spans="1:19" s="354" customFormat="1" ht="15.75" customHeight="1" x14ac:dyDescent="0.25">
      <c r="A382" s="746"/>
      <c r="B382" s="750"/>
      <c r="C382" s="751"/>
      <c r="D382" s="752"/>
      <c r="E382" s="261">
        <v>10</v>
      </c>
      <c r="F382" s="740"/>
      <c r="G382" s="740"/>
      <c r="H382" s="740"/>
      <c r="I382" s="740"/>
      <c r="J382" s="740"/>
      <c r="K382" s="740"/>
      <c r="L382" s="740"/>
      <c r="M382" s="740"/>
      <c r="N382" s="740"/>
      <c r="O382" s="740"/>
      <c r="P382" s="740"/>
      <c r="Q382" s="740"/>
      <c r="R382" s="254"/>
      <c r="S382" s="17"/>
    </row>
    <row r="383" spans="1:19" s="354" customFormat="1" ht="12.75" customHeight="1" x14ac:dyDescent="0.25">
      <c r="A383" s="695">
        <v>229</v>
      </c>
      <c r="B383" s="697" t="s">
        <v>63</v>
      </c>
      <c r="C383" s="620"/>
      <c r="D383" s="621"/>
      <c r="E383" s="264">
        <v>120</v>
      </c>
      <c r="F383" s="698">
        <f>30.8*E383/100</f>
        <v>36.96</v>
      </c>
      <c r="G383" s="694">
        <f>33.8*E383/100</f>
        <v>40.559999999999995</v>
      </c>
      <c r="H383" s="694">
        <f>7.4*E383/100</f>
        <v>8.8800000000000008</v>
      </c>
      <c r="I383" s="694">
        <f>455.02*E383/100</f>
        <v>546.02399999999989</v>
      </c>
      <c r="J383" s="694">
        <f>0*E383/100</f>
        <v>0</v>
      </c>
      <c r="K383" s="694">
        <f>1.84*E383/100</f>
        <v>2.2080000000000002</v>
      </c>
      <c r="L383" s="694">
        <f>0*E383/100</f>
        <v>0</v>
      </c>
      <c r="M383" s="694">
        <f>0*E383/100</f>
        <v>0</v>
      </c>
      <c r="N383" s="694">
        <f>43.62*E383/100</f>
        <v>52.343999999999994</v>
      </c>
      <c r="O383" s="694">
        <f>0*E383/100</f>
        <v>0</v>
      </c>
      <c r="P383" s="694">
        <f>44.06*E383/100</f>
        <v>52.872000000000007</v>
      </c>
      <c r="Q383" s="694">
        <f>6.12*E383/100</f>
        <v>7.3439999999999994</v>
      </c>
      <c r="R383" s="265"/>
      <c r="S383" s="39"/>
    </row>
    <row r="384" spans="1:19" s="354" customFormat="1" ht="14.25" customHeight="1" x14ac:dyDescent="0.25">
      <c r="A384" s="696"/>
      <c r="B384" s="622"/>
      <c r="C384" s="623"/>
      <c r="D384" s="624"/>
      <c r="E384" s="137">
        <v>100</v>
      </c>
      <c r="F384" s="699"/>
      <c r="G384" s="619"/>
      <c r="H384" s="619"/>
      <c r="I384" s="619"/>
      <c r="J384" s="619"/>
      <c r="K384" s="619"/>
      <c r="L384" s="619"/>
      <c r="M384" s="619"/>
      <c r="N384" s="619"/>
      <c r="O384" s="619"/>
      <c r="P384" s="619"/>
      <c r="Q384" s="619"/>
      <c r="R384" s="253"/>
      <c r="S384" s="29"/>
    </row>
    <row r="385" spans="1:19" s="354" customFormat="1" ht="15.75" customHeight="1" x14ac:dyDescent="0.25">
      <c r="A385" s="140">
        <v>312</v>
      </c>
      <c r="B385" s="433" t="s">
        <v>64</v>
      </c>
      <c r="C385" s="434"/>
      <c r="D385" s="435"/>
      <c r="E385" s="137">
        <v>220</v>
      </c>
      <c r="F385" s="215">
        <f>4.16*E385/200</f>
        <v>4.5760000000000005</v>
      </c>
      <c r="G385" s="215">
        <f>6.8*E385/200</f>
        <v>7.48</v>
      </c>
      <c r="H385" s="215">
        <f>24.76*E385/200</f>
        <v>27.236000000000004</v>
      </c>
      <c r="I385" s="215">
        <f>176.88*E385/200</f>
        <v>194.56799999999998</v>
      </c>
      <c r="J385" s="215">
        <f>0*E385/200</f>
        <v>0</v>
      </c>
      <c r="K385" s="215">
        <f>23.7*E385/200</f>
        <v>26.07</v>
      </c>
      <c r="L385" s="215">
        <f>0*E385/200</f>
        <v>0</v>
      </c>
      <c r="M385" s="215">
        <f>0*E385/200</f>
        <v>0</v>
      </c>
      <c r="N385" s="215">
        <f>49.54*E385/200</f>
        <v>54.494</v>
      </c>
      <c r="O385" s="215">
        <f>0*E385/200</f>
        <v>0</v>
      </c>
      <c r="P385" s="215">
        <f>31.32*E385/200</f>
        <v>34.451999999999998</v>
      </c>
      <c r="Q385" s="215">
        <f>1.09*E385/200</f>
        <v>1.1990000000000001</v>
      </c>
      <c r="R385" s="253"/>
      <c r="S385" s="29"/>
    </row>
    <row r="386" spans="1:19" s="354" customFormat="1" ht="15.75" customHeight="1" x14ac:dyDescent="0.25">
      <c r="A386" s="122">
        <v>389</v>
      </c>
      <c r="B386" s="433" t="s">
        <v>47</v>
      </c>
      <c r="C386" s="434"/>
      <c r="D386" s="435"/>
      <c r="E386" s="261">
        <v>200</v>
      </c>
      <c r="F386" s="247">
        <v>1</v>
      </c>
      <c r="G386" s="247">
        <v>0</v>
      </c>
      <c r="H386" s="247">
        <v>20.2</v>
      </c>
      <c r="I386" s="247">
        <v>84.8</v>
      </c>
      <c r="J386" s="247">
        <v>0</v>
      </c>
      <c r="K386" s="247">
        <v>4</v>
      </c>
      <c r="L386" s="247">
        <v>0</v>
      </c>
      <c r="M386" s="247">
        <v>0</v>
      </c>
      <c r="N386" s="247">
        <v>14</v>
      </c>
      <c r="O386" s="247">
        <v>0</v>
      </c>
      <c r="P386" s="247">
        <v>8</v>
      </c>
      <c r="Q386" s="247">
        <v>2.8</v>
      </c>
      <c r="R386" s="265"/>
      <c r="S386" s="39"/>
    </row>
    <row r="387" spans="1:19" s="354" customFormat="1" ht="15.75" customHeight="1" x14ac:dyDescent="0.25">
      <c r="A387" s="122" t="s">
        <v>27</v>
      </c>
      <c r="B387" s="266" t="s">
        <v>39</v>
      </c>
      <c r="C387" s="266"/>
      <c r="D387" s="266"/>
      <c r="E387" s="169">
        <v>120</v>
      </c>
      <c r="F387" s="215">
        <f>4.03*E387/50</f>
        <v>9.6720000000000006</v>
      </c>
      <c r="G387" s="215">
        <f>0.5*E387/50</f>
        <v>1.2</v>
      </c>
      <c r="H387" s="215">
        <f>22.36*E387/50</f>
        <v>53.663999999999994</v>
      </c>
      <c r="I387" s="215">
        <f>98.86*E387/50</f>
        <v>237.26400000000001</v>
      </c>
      <c r="J387" s="215">
        <v>0</v>
      </c>
      <c r="K387" s="215">
        <v>0</v>
      </c>
      <c r="L387" s="215">
        <v>0</v>
      </c>
      <c r="M387" s="215">
        <v>0</v>
      </c>
      <c r="N387" s="215">
        <f>17.59*E387/50</f>
        <v>42.216000000000001</v>
      </c>
      <c r="O387" s="215">
        <v>0</v>
      </c>
      <c r="P387" s="215">
        <f>1.89*E387/50</f>
        <v>4.5359999999999996</v>
      </c>
      <c r="Q387" s="215">
        <f>0.88*E387/50</f>
        <v>2.1120000000000001</v>
      </c>
      <c r="R387" s="254"/>
      <c r="S387" s="17"/>
    </row>
    <row r="388" spans="1:19" s="354" customFormat="1" ht="15.75" customHeight="1" x14ac:dyDescent="0.25">
      <c r="A388" s="122" t="s">
        <v>27</v>
      </c>
      <c r="B388" s="433" t="s">
        <v>28</v>
      </c>
      <c r="C388" s="434"/>
      <c r="D388" s="435"/>
      <c r="E388" s="169">
        <v>45</v>
      </c>
      <c r="F388" s="215">
        <f>2.26*E388/30</f>
        <v>3.3899999999999997</v>
      </c>
      <c r="G388" s="215">
        <f>0.23*E388/30</f>
        <v>0.34499999999999997</v>
      </c>
      <c r="H388" s="215">
        <f>14.66*E388/30</f>
        <v>21.990000000000002</v>
      </c>
      <c r="I388" s="215">
        <f>68.86*E388/30</f>
        <v>103.28999999999999</v>
      </c>
      <c r="J388" s="215">
        <v>0</v>
      </c>
      <c r="K388" s="215">
        <v>0</v>
      </c>
      <c r="L388" s="215">
        <v>0</v>
      </c>
      <c r="M388" s="215">
        <v>0</v>
      </c>
      <c r="N388" s="215">
        <f>12.97*E388/30</f>
        <v>19.454999999999998</v>
      </c>
      <c r="O388" s="215">
        <v>0</v>
      </c>
      <c r="P388" s="215">
        <f>2.83*E388/30</f>
        <v>4.2450000000000001</v>
      </c>
      <c r="Q388" s="215">
        <f>0.74*E388/30</f>
        <v>1.1099999999999999</v>
      </c>
      <c r="R388" s="254"/>
      <c r="S388" s="17"/>
    </row>
    <row r="389" spans="1:19" s="354" customFormat="1" ht="15.75" customHeight="1" x14ac:dyDescent="0.25">
      <c r="A389" s="122"/>
      <c r="B389" s="614" t="s">
        <v>65</v>
      </c>
      <c r="C389" s="615"/>
      <c r="D389" s="616"/>
      <c r="E389" s="162">
        <f t="shared" ref="E389:Q389" si="66">SUM(E380:E388)</f>
        <v>1145</v>
      </c>
      <c r="F389" s="215">
        <f t="shared" si="66"/>
        <v>65.75800000000001</v>
      </c>
      <c r="G389" s="215">
        <f t="shared" si="66"/>
        <v>66.185000000000002</v>
      </c>
      <c r="H389" s="215">
        <f t="shared" si="66"/>
        <v>147.69</v>
      </c>
      <c r="I389" s="215">
        <f t="shared" si="66"/>
        <v>1429.6459999999997</v>
      </c>
      <c r="J389" s="215">
        <f t="shared" si="66"/>
        <v>0</v>
      </c>
      <c r="K389" s="215">
        <f t="shared" si="66"/>
        <v>157.08799999999999</v>
      </c>
      <c r="L389" s="215">
        <f t="shared" si="66"/>
        <v>0</v>
      </c>
      <c r="M389" s="215">
        <f t="shared" si="66"/>
        <v>0</v>
      </c>
      <c r="N389" s="215">
        <f t="shared" si="66"/>
        <v>276.07899999999995</v>
      </c>
      <c r="O389" s="215">
        <f t="shared" si="66"/>
        <v>0</v>
      </c>
      <c r="P389" s="215">
        <f t="shared" si="66"/>
        <v>151.935</v>
      </c>
      <c r="Q389" s="215">
        <f t="shared" si="66"/>
        <v>20.034999999999997</v>
      </c>
      <c r="R389" s="254"/>
      <c r="S389" s="17"/>
    </row>
    <row r="390" spans="1:19" s="354" customFormat="1" ht="15.75" customHeight="1" x14ac:dyDescent="0.25">
      <c r="A390" s="272"/>
      <c r="B390" s="700" t="s">
        <v>41</v>
      </c>
      <c r="C390" s="617"/>
      <c r="D390" s="618"/>
      <c r="E390" s="162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53"/>
      <c r="S390" s="29"/>
    </row>
    <row r="391" spans="1:19" s="354" customFormat="1" ht="15.75" customHeight="1" x14ac:dyDescent="0.25">
      <c r="A391" s="203">
        <v>415</v>
      </c>
      <c r="B391" s="701" t="s">
        <v>66</v>
      </c>
      <c r="C391" s="434"/>
      <c r="D391" s="435"/>
      <c r="E391" s="87">
        <v>150</v>
      </c>
      <c r="F391" s="172">
        <v>3.67</v>
      </c>
      <c r="G391" s="172">
        <v>11.2</v>
      </c>
      <c r="H391" s="172">
        <v>31.4</v>
      </c>
      <c r="I391" s="172">
        <v>221.3</v>
      </c>
      <c r="J391" s="172">
        <v>0</v>
      </c>
      <c r="K391" s="172">
        <v>0</v>
      </c>
      <c r="L391" s="172">
        <v>0</v>
      </c>
      <c r="M391" s="172">
        <v>0</v>
      </c>
      <c r="N391" s="172">
        <v>19.399999999999999</v>
      </c>
      <c r="O391" s="172">
        <v>0</v>
      </c>
      <c r="P391" s="172">
        <v>24.4</v>
      </c>
      <c r="Q391" s="172">
        <v>1.28</v>
      </c>
      <c r="R391" s="267"/>
      <c r="S391" s="21"/>
    </row>
    <row r="392" spans="1:19" s="354" customFormat="1" ht="15.75" customHeight="1" x14ac:dyDescent="0.25">
      <c r="A392" s="122">
        <v>385</v>
      </c>
      <c r="B392" s="433" t="s">
        <v>42</v>
      </c>
      <c r="C392" s="434"/>
      <c r="D392" s="435"/>
      <c r="E392" s="162">
        <v>200</v>
      </c>
      <c r="F392" s="215">
        <v>5.8</v>
      </c>
      <c r="G392" s="215">
        <v>5</v>
      </c>
      <c r="H392" s="215">
        <v>9.6</v>
      </c>
      <c r="I392" s="215">
        <v>107.8</v>
      </c>
      <c r="J392" s="215">
        <v>0</v>
      </c>
      <c r="K392" s="215">
        <v>2.6</v>
      </c>
      <c r="L392" s="215">
        <v>0</v>
      </c>
      <c r="M392" s="215">
        <v>0</v>
      </c>
      <c r="N392" s="215">
        <v>240</v>
      </c>
      <c r="O392" s="215">
        <v>0</v>
      </c>
      <c r="P392" s="215">
        <v>28</v>
      </c>
      <c r="Q392" s="215">
        <v>0.2</v>
      </c>
      <c r="R392" s="253"/>
      <c r="S392" s="29"/>
    </row>
    <row r="393" spans="1:19" s="354" customFormat="1" ht="15.75" customHeight="1" x14ac:dyDescent="0.25">
      <c r="A393" s="122"/>
      <c r="B393" s="614" t="s">
        <v>67</v>
      </c>
      <c r="C393" s="615"/>
      <c r="D393" s="616"/>
      <c r="E393" s="162">
        <f>SUM(100+E392)</f>
        <v>300</v>
      </c>
      <c r="F393" s="215">
        <f t="shared" ref="F393:K393" si="67">SUM(F391:F392)</f>
        <v>9.4699999999999989</v>
      </c>
      <c r="G393" s="215">
        <f t="shared" si="67"/>
        <v>16.2</v>
      </c>
      <c r="H393" s="215">
        <f t="shared" si="67"/>
        <v>41</v>
      </c>
      <c r="I393" s="215">
        <f t="shared" si="67"/>
        <v>329.1</v>
      </c>
      <c r="J393" s="215">
        <f t="shared" si="67"/>
        <v>0</v>
      </c>
      <c r="K393" s="215">
        <f t="shared" si="67"/>
        <v>2.6</v>
      </c>
      <c r="L393" s="215">
        <f t="shared" ref="L393:N393" si="68">L391+L392</f>
        <v>0</v>
      </c>
      <c r="M393" s="215">
        <f t="shared" si="68"/>
        <v>0</v>
      </c>
      <c r="N393" s="215">
        <f t="shared" si="68"/>
        <v>259.39999999999998</v>
      </c>
      <c r="O393" s="215">
        <f>SUM(O391:O392)</f>
        <v>0</v>
      </c>
      <c r="P393" s="215">
        <f t="shared" ref="P393:Q393" si="69">P391+P392</f>
        <v>52.4</v>
      </c>
      <c r="Q393" s="215">
        <f t="shared" si="69"/>
        <v>1.48</v>
      </c>
      <c r="R393" s="254"/>
      <c r="S393" s="17"/>
    </row>
    <row r="394" spans="1:19" s="354" customFormat="1" ht="15.75" customHeight="1" x14ac:dyDescent="0.25">
      <c r="A394" s="272"/>
      <c r="B394" s="474" t="s">
        <v>44</v>
      </c>
      <c r="C394" s="617"/>
      <c r="D394" s="618"/>
      <c r="E394" s="162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53"/>
      <c r="S394" s="29"/>
    </row>
    <row r="395" spans="1:19" s="354" customFormat="1" ht="15.75" customHeight="1" x14ac:dyDescent="0.25">
      <c r="A395" s="115" t="s">
        <v>133</v>
      </c>
      <c r="B395" s="519" t="s">
        <v>176</v>
      </c>
      <c r="C395" s="520"/>
      <c r="D395" s="521"/>
      <c r="E395" s="115">
        <v>30</v>
      </c>
      <c r="F395" s="115">
        <f>1.55*E395/50</f>
        <v>0.93</v>
      </c>
      <c r="G395" s="115">
        <f>0*E395/50</f>
        <v>0</v>
      </c>
      <c r="H395" s="115">
        <f>3.25*E395/50</f>
        <v>1.95</v>
      </c>
      <c r="I395" s="115">
        <f>22.5*E395/50</f>
        <v>13.5</v>
      </c>
      <c r="J395" s="115">
        <f>0*E395/50</f>
        <v>0</v>
      </c>
      <c r="K395" s="115">
        <f>5*E395/50</f>
        <v>3</v>
      </c>
      <c r="L395" s="115">
        <f>0*E395/50</f>
        <v>0</v>
      </c>
      <c r="M395" s="115">
        <v>0</v>
      </c>
      <c r="N395" s="115">
        <f>10*E395/50</f>
        <v>6</v>
      </c>
      <c r="O395" s="115">
        <v>0</v>
      </c>
      <c r="P395" s="115">
        <f>10*E395/50</f>
        <v>6</v>
      </c>
      <c r="Q395" s="115">
        <f>0.35*E395/50</f>
        <v>0.21</v>
      </c>
      <c r="R395" s="254"/>
      <c r="S395" s="17"/>
    </row>
    <row r="396" spans="1:19" s="354" customFormat="1" ht="12" customHeight="1" x14ac:dyDescent="0.25">
      <c r="A396" s="577" t="s">
        <v>68</v>
      </c>
      <c r="B396" s="579" t="s">
        <v>69</v>
      </c>
      <c r="C396" s="620"/>
      <c r="D396" s="621"/>
      <c r="E396" s="162">
        <v>120</v>
      </c>
      <c r="F396" s="625">
        <f>23.56*E396/100</f>
        <v>28.271999999999998</v>
      </c>
      <c r="G396" s="625">
        <f>20.24*E396/100</f>
        <v>24.287999999999997</v>
      </c>
      <c r="H396" s="625">
        <f>5.86*E396/100</f>
        <v>7.032</v>
      </c>
      <c r="I396" s="625">
        <f>300*E396/100</f>
        <v>360</v>
      </c>
      <c r="J396" s="625">
        <f t="shared" ref="J396" si="70">0*E396/100</f>
        <v>0</v>
      </c>
      <c r="K396" s="625">
        <f>0.03*E396/100</f>
        <v>3.5999999999999997E-2</v>
      </c>
      <c r="L396" s="625">
        <f>0*E396/100</f>
        <v>0</v>
      </c>
      <c r="M396" s="625">
        <f>0*E396/100</f>
        <v>0</v>
      </c>
      <c r="N396" s="625">
        <f>90.8*E396/100</f>
        <v>108.96</v>
      </c>
      <c r="O396" s="625">
        <f>0*E396/100</f>
        <v>0</v>
      </c>
      <c r="P396" s="625">
        <f>33.83*E396/100</f>
        <v>40.595999999999997</v>
      </c>
      <c r="Q396" s="625">
        <f>2.7*E396/100</f>
        <v>3.24</v>
      </c>
      <c r="R396" s="253"/>
      <c r="S396" s="29"/>
    </row>
    <row r="397" spans="1:19" s="354" customFormat="1" ht="14.25" customHeight="1" x14ac:dyDescent="0.25">
      <c r="A397" s="619"/>
      <c r="B397" s="622"/>
      <c r="C397" s="623"/>
      <c r="D397" s="624"/>
      <c r="E397" s="162">
        <f>E396</f>
        <v>120</v>
      </c>
      <c r="F397" s="619"/>
      <c r="G397" s="619"/>
      <c r="H397" s="619"/>
      <c r="I397" s="619"/>
      <c r="J397" s="619"/>
      <c r="K397" s="619"/>
      <c r="L397" s="619"/>
      <c r="M397" s="619"/>
      <c r="N397" s="619"/>
      <c r="O397" s="619"/>
      <c r="P397" s="619"/>
      <c r="Q397" s="619"/>
      <c r="R397" s="253"/>
      <c r="S397" s="29"/>
    </row>
    <row r="398" spans="1:19" s="354" customFormat="1" ht="14.25" customHeight="1" x14ac:dyDescent="0.25">
      <c r="A398" s="627">
        <v>171</v>
      </c>
      <c r="B398" s="628" t="s">
        <v>70</v>
      </c>
      <c r="C398" s="620"/>
      <c r="D398" s="621"/>
      <c r="E398" s="116">
        <v>200</v>
      </c>
      <c r="F398" s="626">
        <f>11.05*(E398+E399)/(190+10)</f>
        <v>11.63123</v>
      </c>
      <c r="G398" s="626">
        <f>11.93*(E398+E399)/(190+10)</f>
        <v>12.557518</v>
      </c>
      <c r="H398" s="626">
        <f>46.07*(E398+E399)/(190+10)</f>
        <v>48.493282000000001</v>
      </c>
      <c r="I398" s="626">
        <f>350*(E398+E399)/(190+10)</f>
        <v>368.41</v>
      </c>
      <c r="J398" s="626">
        <v>0</v>
      </c>
      <c r="K398" s="626">
        <v>0</v>
      </c>
      <c r="L398" s="626">
        <v>0</v>
      </c>
      <c r="M398" s="626">
        <v>0</v>
      </c>
      <c r="N398" s="626">
        <f>32.97*(E398+E399)/(190+10)</f>
        <v>34.704222000000001</v>
      </c>
      <c r="O398" s="626">
        <v>0</v>
      </c>
      <c r="P398" s="626">
        <f>175.64*(E398+E399)/(190+10)</f>
        <v>184.87866399999999</v>
      </c>
      <c r="Q398" s="626">
        <f>5.9*(E398+E399)/(190+10)</f>
        <v>6.2103400000000013</v>
      </c>
      <c r="R398" s="253"/>
      <c r="S398" s="29"/>
    </row>
    <row r="399" spans="1:19" s="354" customFormat="1" ht="12.75" customHeight="1" x14ac:dyDescent="0.25">
      <c r="A399" s="619"/>
      <c r="B399" s="622"/>
      <c r="C399" s="623"/>
      <c r="D399" s="624"/>
      <c r="E399" s="162">
        <f>E398*5.26/100</f>
        <v>10.52</v>
      </c>
      <c r="F399" s="619"/>
      <c r="G399" s="619"/>
      <c r="H399" s="619"/>
      <c r="I399" s="619"/>
      <c r="J399" s="619"/>
      <c r="K399" s="619"/>
      <c r="L399" s="619"/>
      <c r="M399" s="619"/>
      <c r="N399" s="619"/>
      <c r="O399" s="619"/>
      <c r="P399" s="619"/>
      <c r="Q399" s="619"/>
      <c r="R399" s="253"/>
      <c r="S399" s="29"/>
    </row>
    <row r="400" spans="1:19" s="354" customFormat="1" ht="15.75" customHeight="1" x14ac:dyDescent="0.25">
      <c r="A400" s="122" t="s">
        <v>27</v>
      </c>
      <c r="B400" s="519" t="s">
        <v>39</v>
      </c>
      <c r="C400" s="520"/>
      <c r="D400" s="521"/>
      <c r="E400" s="169">
        <v>75</v>
      </c>
      <c r="F400" s="215">
        <f>4.03*E400/50</f>
        <v>6.0449999999999999</v>
      </c>
      <c r="G400" s="215">
        <f>0.5*E400/50</f>
        <v>0.75</v>
      </c>
      <c r="H400" s="215">
        <f>22.36*E400/50</f>
        <v>33.54</v>
      </c>
      <c r="I400" s="215">
        <f>98.86*E400/50</f>
        <v>148.29</v>
      </c>
      <c r="J400" s="215">
        <v>0</v>
      </c>
      <c r="K400" s="215">
        <v>0</v>
      </c>
      <c r="L400" s="215">
        <v>0</v>
      </c>
      <c r="M400" s="215">
        <v>0</v>
      </c>
      <c r="N400" s="215">
        <f>17.59*E400/50</f>
        <v>26.385000000000002</v>
      </c>
      <c r="O400" s="215">
        <v>0</v>
      </c>
      <c r="P400" s="215">
        <f>1.89*E400/50</f>
        <v>2.835</v>
      </c>
      <c r="Q400" s="215">
        <f>0.88*E400/50</f>
        <v>1.32</v>
      </c>
      <c r="R400" s="253"/>
      <c r="S400" s="29"/>
    </row>
    <row r="401" spans="1:19" s="354" customFormat="1" ht="15.75" customHeight="1" x14ac:dyDescent="0.25">
      <c r="A401" s="122" t="s">
        <v>27</v>
      </c>
      <c r="B401" s="433" t="s">
        <v>28</v>
      </c>
      <c r="C401" s="434"/>
      <c r="D401" s="435"/>
      <c r="E401" s="169">
        <v>45</v>
      </c>
      <c r="F401" s="215">
        <f>2.26*E401/30</f>
        <v>3.3899999999999997</v>
      </c>
      <c r="G401" s="215">
        <f>0.23*E401/30</f>
        <v>0.34499999999999997</v>
      </c>
      <c r="H401" s="215">
        <f>14.66*E401/30</f>
        <v>21.990000000000002</v>
      </c>
      <c r="I401" s="215">
        <f>68.86*E401/30</f>
        <v>103.28999999999999</v>
      </c>
      <c r="J401" s="215">
        <v>0</v>
      </c>
      <c r="K401" s="215">
        <v>0</v>
      </c>
      <c r="L401" s="215">
        <v>0</v>
      </c>
      <c r="M401" s="215">
        <v>0</v>
      </c>
      <c r="N401" s="215">
        <f>12.97*E401/30</f>
        <v>19.454999999999998</v>
      </c>
      <c r="O401" s="215">
        <v>0</v>
      </c>
      <c r="P401" s="215">
        <f>2.83*E401/30</f>
        <v>4.2450000000000001</v>
      </c>
      <c r="Q401" s="215">
        <f>0.74*E401/30</f>
        <v>1.1099999999999999</v>
      </c>
      <c r="R401" s="254"/>
      <c r="S401" s="17"/>
    </row>
    <row r="402" spans="1:19" s="354" customFormat="1" ht="15.75" customHeight="1" x14ac:dyDescent="0.25">
      <c r="A402" s="122">
        <v>389</v>
      </c>
      <c r="B402" s="632" t="s">
        <v>71</v>
      </c>
      <c r="C402" s="434"/>
      <c r="D402" s="435"/>
      <c r="E402" s="162">
        <v>200</v>
      </c>
      <c r="F402" s="215">
        <v>1</v>
      </c>
      <c r="G402" s="215">
        <v>0</v>
      </c>
      <c r="H402" s="215">
        <v>20.2</v>
      </c>
      <c r="I402" s="215">
        <v>84.8</v>
      </c>
      <c r="J402" s="215">
        <v>0</v>
      </c>
      <c r="K402" s="215">
        <v>4</v>
      </c>
      <c r="L402" s="215">
        <v>0</v>
      </c>
      <c r="M402" s="215">
        <v>0</v>
      </c>
      <c r="N402" s="215">
        <v>14</v>
      </c>
      <c r="O402" s="215">
        <v>0</v>
      </c>
      <c r="P402" s="215">
        <v>8</v>
      </c>
      <c r="Q402" s="215">
        <v>2.8</v>
      </c>
      <c r="R402" s="253"/>
      <c r="S402" s="29"/>
    </row>
    <row r="403" spans="1:19" s="354" customFormat="1" ht="15.75" customHeight="1" x14ac:dyDescent="0.25">
      <c r="A403" s="122"/>
      <c r="B403" s="614" t="s">
        <v>72</v>
      </c>
      <c r="C403" s="615"/>
      <c r="D403" s="616"/>
      <c r="E403" s="162">
        <f t="shared" ref="E403:Q403" si="71">SUM(E395:E402)</f>
        <v>800.52</v>
      </c>
      <c r="F403" s="215">
        <f t="shared" si="71"/>
        <v>51.268230000000003</v>
      </c>
      <c r="G403" s="215">
        <f t="shared" si="71"/>
        <v>37.940517999999997</v>
      </c>
      <c r="H403" s="215">
        <f t="shared" si="71"/>
        <v>133.20528199999998</v>
      </c>
      <c r="I403" s="215">
        <f t="shared" si="71"/>
        <v>1078.29</v>
      </c>
      <c r="J403" s="215">
        <f t="shared" si="71"/>
        <v>0</v>
      </c>
      <c r="K403" s="215">
        <f t="shared" si="71"/>
        <v>7.0359999999999996</v>
      </c>
      <c r="L403" s="215">
        <f t="shared" si="71"/>
        <v>0</v>
      </c>
      <c r="M403" s="215">
        <f t="shared" si="71"/>
        <v>0</v>
      </c>
      <c r="N403" s="215">
        <f t="shared" si="71"/>
        <v>209.50422199999997</v>
      </c>
      <c r="O403" s="215">
        <f t="shared" si="71"/>
        <v>0</v>
      </c>
      <c r="P403" s="215">
        <f t="shared" si="71"/>
        <v>246.554664</v>
      </c>
      <c r="Q403" s="215">
        <f t="shared" si="71"/>
        <v>14.890340000000002</v>
      </c>
      <c r="R403" s="254"/>
      <c r="S403" s="17"/>
    </row>
    <row r="404" spans="1:19" s="354" customFormat="1" ht="14.25" customHeight="1" x14ac:dyDescent="0.25">
      <c r="A404" s="272"/>
      <c r="B404" s="474" t="s">
        <v>73</v>
      </c>
      <c r="C404" s="617"/>
      <c r="D404" s="618"/>
      <c r="E404" s="162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53"/>
      <c r="S404" s="29"/>
    </row>
    <row r="405" spans="1:19" s="354" customFormat="1" ht="15.75" customHeight="1" x14ac:dyDescent="0.25">
      <c r="A405" s="202">
        <v>386</v>
      </c>
      <c r="B405" s="633" t="s">
        <v>74</v>
      </c>
      <c r="C405" s="434"/>
      <c r="D405" s="435"/>
      <c r="E405" s="179">
        <v>200</v>
      </c>
      <c r="F405" s="177">
        <v>4.32</v>
      </c>
      <c r="G405" s="177">
        <v>2.5</v>
      </c>
      <c r="H405" s="177">
        <v>9.8800000000000008</v>
      </c>
      <c r="I405" s="177">
        <v>84.8</v>
      </c>
      <c r="J405" s="177">
        <v>0</v>
      </c>
      <c r="K405" s="177">
        <v>0</v>
      </c>
      <c r="L405" s="177">
        <v>0</v>
      </c>
      <c r="M405" s="177">
        <v>0</v>
      </c>
      <c r="N405" s="177">
        <v>120.96</v>
      </c>
      <c r="O405" s="177">
        <v>0</v>
      </c>
      <c r="P405" s="177">
        <v>14.11</v>
      </c>
      <c r="Q405" s="177">
        <v>0.1</v>
      </c>
      <c r="R405" s="253"/>
      <c r="S405" s="29"/>
    </row>
    <row r="406" spans="1:19" s="354" customFormat="1" ht="18.75" customHeight="1" x14ac:dyDescent="0.25">
      <c r="A406" s="133" t="s">
        <v>27</v>
      </c>
      <c r="B406" s="436" t="s">
        <v>222</v>
      </c>
      <c r="C406" s="440"/>
      <c r="D406" s="441"/>
      <c r="E406" s="158">
        <v>30</v>
      </c>
      <c r="F406" s="268">
        <f>1.25*E406/45</f>
        <v>0.83333333333333337</v>
      </c>
      <c r="G406" s="268">
        <f>1.48*E406/45</f>
        <v>0.98666666666666658</v>
      </c>
      <c r="H406" s="268">
        <f>34.89*E406/45</f>
        <v>23.26</v>
      </c>
      <c r="I406" s="268">
        <f>160.75*E406/45</f>
        <v>107.16666666666667</v>
      </c>
      <c r="J406" s="268">
        <v>0</v>
      </c>
      <c r="K406" s="215">
        <f>0.1*E406/45</f>
        <v>6.6666666666666666E-2</v>
      </c>
      <c r="L406" s="268">
        <v>0</v>
      </c>
      <c r="M406" s="268">
        <v>0</v>
      </c>
      <c r="N406" s="268">
        <f>6.8*E406/45</f>
        <v>4.5333333333333332</v>
      </c>
      <c r="O406" s="268">
        <v>0</v>
      </c>
      <c r="P406" s="268">
        <f>4.53*E406/45</f>
        <v>3.02</v>
      </c>
      <c r="Q406" s="268">
        <f>0.9*E406/45</f>
        <v>0.6</v>
      </c>
      <c r="R406" s="253"/>
      <c r="S406" s="29"/>
    </row>
    <row r="407" spans="1:19" s="354" customFormat="1" ht="17.25" customHeight="1" x14ac:dyDescent="0.25">
      <c r="A407" s="122"/>
      <c r="B407" s="614" t="s">
        <v>52</v>
      </c>
      <c r="C407" s="629"/>
      <c r="D407" s="630"/>
      <c r="E407" s="162">
        <f>SUM(200+E406)</f>
        <v>230</v>
      </c>
      <c r="F407" s="215">
        <f t="shared" ref="F407:Q407" si="72">SUM(F405:F406)</f>
        <v>5.1533333333333333</v>
      </c>
      <c r="G407" s="215">
        <f t="shared" si="72"/>
        <v>3.4866666666666664</v>
      </c>
      <c r="H407" s="215">
        <f t="shared" si="72"/>
        <v>33.14</v>
      </c>
      <c r="I407" s="215">
        <f t="shared" si="72"/>
        <v>191.96666666666667</v>
      </c>
      <c r="J407" s="215">
        <f t="shared" si="72"/>
        <v>0</v>
      </c>
      <c r="K407" s="215">
        <f t="shared" si="72"/>
        <v>6.6666666666666666E-2</v>
      </c>
      <c r="L407" s="215">
        <f t="shared" si="72"/>
        <v>0</v>
      </c>
      <c r="M407" s="215">
        <f t="shared" si="72"/>
        <v>0</v>
      </c>
      <c r="N407" s="215">
        <f t="shared" si="72"/>
        <v>125.49333333333333</v>
      </c>
      <c r="O407" s="215">
        <f t="shared" si="72"/>
        <v>0</v>
      </c>
      <c r="P407" s="215">
        <f t="shared" si="72"/>
        <v>17.13</v>
      </c>
      <c r="Q407" s="215">
        <f t="shared" si="72"/>
        <v>0.7</v>
      </c>
      <c r="R407" s="254"/>
      <c r="S407" s="17"/>
    </row>
    <row r="408" spans="1:19" s="354" customFormat="1" ht="20.25" customHeight="1" x14ac:dyDescent="0.25">
      <c r="A408" s="122"/>
      <c r="B408" s="433" t="s">
        <v>53</v>
      </c>
      <c r="C408" s="434"/>
      <c r="D408" s="435"/>
      <c r="E408" s="162">
        <v>8</v>
      </c>
      <c r="F408" s="215"/>
      <c r="G408" s="215"/>
      <c r="H408" s="215"/>
      <c r="I408" s="215"/>
      <c r="J408" s="215"/>
      <c r="K408" s="215"/>
      <c r="L408" s="215"/>
      <c r="M408" s="215"/>
      <c r="N408" s="215">
        <v>29.44</v>
      </c>
      <c r="O408" s="215"/>
      <c r="P408" s="215">
        <v>1.76</v>
      </c>
      <c r="Q408" s="215">
        <v>0.23</v>
      </c>
      <c r="R408" s="303"/>
      <c r="S408" s="221"/>
    </row>
    <row r="409" spans="1:19" s="354" customFormat="1" ht="22.5" customHeight="1" x14ac:dyDescent="0.25">
      <c r="A409" s="122"/>
      <c r="B409" s="430" t="s">
        <v>232</v>
      </c>
      <c r="C409" s="431"/>
      <c r="D409" s="432"/>
      <c r="E409" s="155">
        <f t="shared" ref="E409:M409" si="73">SUM(E375,E378,E389,E393,E403,E407)</f>
        <v>3333.02</v>
      </c>
      <c r="F409" s="214">
        <f t="shared" si="73"/>
        <v>157.17456333333334</v>
      </c>
      <c r="G409" s="214">
        <f t="shared" si="73"/>
        <v>144.03218466666669</v>
      </c>
      <c r="H409" s="214">
        <f t="shared" si="73"/>
        <v>495.11278200000004</v>
      </c>
      <c r="I409" s="214">
        <f t="shared" si="73"/>
        <v>3871.6626666666662</v>
      </c>
      <c r="J409" s="214">
        <f t="shared" si="73"/>
        <v>0.04</v>
      </c>
      <c r="K409" s="214">
        <f t="shared" si="73"/>
        <v>200.46066666666664</v>
      </c>
      <c r="L409" s="214">
        <f t="shared" si="73"/>
        <v>0.03</v>
      </c>
      <c r="M409" s="214">
        <f t="shared" si="73"/>
        <v>0.11</v>
      </c>
      <c r="N409" s="214">
        <f>SUM(N375,N378,N389,N393,N403,N407,N408)</f>
        <v>1485.6415553333331</v>
      </c>
      <c r="O409" s="299">
        <f>SUM(O375,O378,O389,O393,O403,O407)</f>
        <v>9.4499999999999993</v>
      </c>
      <c r="P409" s="214">
        <f>SUM(P375,P378,P389,P393,P403,P407)</f>
        <v>740.64216399999998</v>
      </c>
      <c r="Q409" s="214">
        <f>SUM(Q375,Q378,Q389,Q393,Q403,Q407)</f>
        <v>49.375339999999994</v>
      </c>
      <c r="R409" s="254"/>
      <c r="S409" s="17"/>
    </row>
    <row r="410" spans="1:19" s="354" customFormat="1" ht="18" customHeight="1" x14ac:dyDescent="0.25">
      <c r="A410" s="273"/>
      <c r="B410" s="274"/>
      <c r="C410" s="274"/>
      <c r="D410" s="27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275"/>
      <c r="S410" s="1"/>
    </row>
    <row r="411" spans="1:19" s="380" customFormat="1" ht="27" customHeight="1" x14ac:dyDescent="0.25">
      <c r="A411" s="782" t="s">
        <v>171</v>
      </c>
      <c r="B411" s="778"/>
      <c r="C411" s="778"/>
      <c r="D411" s="778"/>
      <c r="E411" s="778"/>
      <c r="F411" s="778"/>
      <c r="G411" s="778"/>
      <c r="H411" s="778"/>
      <c r="I411" s="778"/>
      <c r="J411" s="778"/>
      <c r="K411" s="778"/>
      <c r="L411" s="778"/>
      <c r="M411" s="778"/>
      <c r="N411" s="778"/>
      <c r="O411" s="778"/>
      <c r="P411" s="778"/>
      <c r="Q411" s="778"/>
      <c r="R411" s="779"/>
      <c r="S411" s="379"/>
    </row>
    <row r="412" spans="1:19" s="354" customFormat="1" ht="20.25" customHeight="1" x14ac:dyDescent="0.25">
      <c r="A412" s="634" t="s">
        <v>3</v>
      </c>
      <c r="B412" s="766" t="s">
        <v>4</v>
      </c>
      <c r="C412" s="767"/>
      <c r="D412" s="768"/>
      <c r="E412" s="529" t="s">
        <v>5</v>
      </c>
      <c r="F412" s="530" t="s">
        <v>6</v>
      </c>
      <c r="G412" s="440"/>
      <c r="H412" s="441"/>
      <c r="I412" s="529" t="s">
        <v>7</v>
      </c>
      <c r="J412" s="530" t="s">
        <v>8</v>
      </c>
      <c r="K412" s="440"/>
      <c r="L412" s="440"/>
      <c r="M412" s="441"/>
      <c r="N412" s="530" t="s">
        <v>9</v>
      </c>
      <c r="O412" s="440"/>
      <c r="P412" s="440"/>
      <c r="Q412" s="441"/>
      <c r="R412" s="45"/>
      <c r="S412" s="1"/>
    </row>
    <row r="413" spans="1:19" s="354" customFormat="1" ht="26.25" customHeight="1" x14ac:dyDescent="0.25">
      <c r="A413" s="480"/>
      <c r="B413" s="769"/>
      <c r="C413" s="770"/>
      <c r="D413" s="771"/>
      <c r="E413" s="527"/>
      <c r="F413" s="33" t="s">
        <v>10</v>
      </c>
      <c r="G413" s="33" t="s">
        <v>11</v>
      </c>
      <c r="H413" s="33" t="s">
        <v>12</v>
      </c>
      <c r="I413" s="527"/>
      <c r="J413" s="34" t="s">
        <v>13</v>
      </c>
      <c r="K413" s="34" t="s">
        <v>14</v>
      </c>
      <c r="L413" s="34" t="s">
        <v>15</v>
      </c>
      <c r="M413" s="345" t="s">
        <v>16</v>
      </c>
      <c r="N413" s="36" t="s">
        <v>17</v>
      </c>
      <c r="O413" s="34" t="s">
        <v>18</v>
      </c>
      <c r="P413" s="34" t="s">
        <v>19</v>
      </c>
      <c r="Q413" s="345" t="s">
        <v>20</v>
      </c>
      <c r="R413" s="1"/>
      <c r="S413" s="1"/>
    </row>
    <row r="414" spans="1:19" s="354" customFormat="1" ht="19.5" customHeight="1" x14ac:dyDescent="0.25">
      <c r="A414" s="222">
        <v>1</v>
      </c>
      <c r="B414" s="636">
        <v>2</v>
      </c>
      <c r="C414" s="440"/>
      <c r="D414" s="441"/>
      <c r="E414" s="46">
        <v>3</v>
      </c>
      <c r="F414" s="46">
        <v>4</v>
      </c>
      <c r="G414" s="46">
        <v>5</v>
      </c>
      <c r="H414" s="46">
        <v>6</v>
      </c>
      <c r="I414" s="47">
        <v>7</v>
      </c>
      <c r="J414" s="46">
        <v>8</v>
      </c>
      <c r="K414" s="46">
        <v>9</v>
      </c>
      <c r="L414" s="46">
        <v>10</v>
      </c>
      <c r="M414" s="48">
        <v>11</v>
      </c>
      <c r="N414" s="46">
        <v>12</v>
      </c>
      <c r="O414" s="46">
        <v>13</v>
      </c>
      <c r="P414" s="46">
        <v>14</v>
      </c>
      <c r="Q414" s="49">
        <v>15</v>
      </c>
      <c r="R414" s="1"/>
      <c r="S414" s="1"/>
    </row>
    <row r="415" spans="1:19" s="354" customFormat="1" ht="15.75" customHeight="1" x14ac:dyDescent="0.25">
      <c r="A415" s="201"/>
      <c r="B415" s="522" t="s">
        <v>21</v>
      </c>
      <c r="C415" s="446"/>
      <c r="D415" s="447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"/>
      <c r="S415" s="1"/>
    </row>
    <row r="416" spans="1:19" s="354" customFormat="1" ht="15.75" customHeight="1" x14ac:dyDescent="0.25">
      <c r="A416" s="122">
        <v>3</v>
      </c>
      <c r="B416" s="637" t="s">
        <v>77</v>
      </c>
      <c r="C416" s="440"/>
      <c r="D416" s="441"/>
      <c r="E416" s="184" t="s">
        <v>23</v>
      </c>
      <c r="F416" s="182">
        <v>5.8</v>
      </c>
      <c r="G416" s="182">
        <v>8.3000000000000007</v>
      </c>
      <c r="H416" s="182">
        <v>14.83</v>
      </c>
      <c r="I416" s="182">
        <v>157</v>
      </c>
      <c r="J416" s="182">
        <v>0.04</v>
      </c>
      <c r="K416" s="182">
        <v>0.04</v>
      </c>
      <c r="L416" s="182">
        <v>0.03</v>
      </c>
      <c r="M416" s="182">
        <v>0.11</v>
      </c>
      <c r="N416" s="182">
        <v>139.19999999999999</v>
      </c>
      <c r="O416" s="182">
        <v>9.4499999999999993</v>
      </c>
      <c r="P416" s="182">
        <v>96</v>
      </c>
      <c r="Q416" s="182">
        <v>0.49</v>
      </c>
      <c r="R416" s="21"/>
      <c r="S416" s="21"/>
    </row>
    <row r="417" spans="1:19" s="354" customFormat="1" ht="15.75" customHeight="1" x14ac:dyDescent="0.25">
      <c r="A417" s="115" t="s">
        <v>27</v>
      </c>
      <c r="B417" s="433" t="s">
        <v>96</v>
      </c>
      <c r="C417" s="440"/>
      <c r="D417" s="441"/>
      <c r="E417" s="115">
        <v>50</v>
      </c>
      <c r="F417" s="115">
        <v>1.3</v>
      </c>
      <c r="G417" s="115">
        <v>3.59</v>
      </c>
      <c r="H417" s="115">
        <v>7.27</v>
      </c>
      <c r="I417" s="115">
        <v>66.900000000000006</v>
      </c>
      <c r="J417" s="115">
        <f t="shared" ref="J417" si="74">0*E417/50</f>
        <v>0</v>
      </c>
      <c r="K417" s="115">
        <v>2.33</v>
      </c>
      <c r="L417" s="115">
        <f t="shared" ref="L417" si="75">0*E417/50</f>
        <v>0</v>
      </c>
      <c r="M417" s="115">
        <v>0</v>
      </c>
      <c r="N417" s="115">
        <v>45.46</v>
      </c>
      <c r="O417" s="115">
        <v>0</v>
      </c>
      <c r="P417" s="115">
        <v>9.0500000000000007</v>
      </c>
      <c r="Q417" s="115">
        <v>0.37</v>
      </c>
      <c r="R417" s="1"/>
      <c r="S417" s="1"/>
    </row>
    <row r="418" spans="1:19" s="354" customFormat="1" ht="16.5" customHeight="1" x14ac:dyDescent="0.25">
      <c r="A418" s="533">
        <v>210</v>
      </c>
      <c r="B418" s="534" t="s">
        <v>79</v>
      </c>
      <c r="C418" s="476"/>
      <c r="D418" s="477"/>
      <c r="E418" s="102">
        <v>220</v>
      </c>
      <c r="F418" s="531">
        <f>15*E418/160</f>
        <v>20.625</v>
      </c>
      <c r="G418" s="531">
        <f>23.29*E418/160</f>
        <v>32.02375</v>
      </c>
      <c r="H418" s="531">
        <f>2.95*E418/160</f>
        <v>4.0562500000000004</v>
      </c>
      <c r="I418" s="531">
        <f>281.41*E418/160</f>
        <v>386.93875000000003</v>
      </c>
      <c r="J418" s="531">
        <f>0*E418/160</f>
        <v>0</v>
      </c>
      <c r="K418" s="531">
        <f>0.3*E418/160</f>
        <v>0.41249999999999998</v>
      </c>
      <c r="L418" s="531">
        <f>0*E418/160</f>
        <v>0</v>
      </c>
      <c r="M418" s="531">
        <f>0*E418/160</f>
        <v>0</v>
      </c>
      <c r="N418" s="531">
        <f>125.6*E418/160</f>
        <v>172.7</v>
      </c>
      <c r="O418" s="531">
        <f>0*E418/160</f>
        <v>0</v>
      </c>
      <c r="P418" s="531">
        <f>20.8*E418/160</f>
        <v>28.6</v>
      </c>
      <c r="Q418" s="531">
        <f>3.08*E418/160</f>
        <v>4.2350000000000003</v>
      </c>
      <c r="R418" s="29"/>
      <c r="S418" s="29"/>
    </row>
    <row r="419" spans="1:19" s="354" customFormat="1" ht="15.75" customHeight="1" x14ac:dyDescent="0.25">
      <c r="A419" s="471"/>
      <c r="B419" s="478"/>
      <c r="C419" s="479"/>
      <c r="D419" s="480"/>
      <c r="E419" s="128">
        <f>E418*3.125/100</f>
        <v>6.875</v>
      </c>
      <c r="F419" s="471"/>
      <c r="G419" s="471"/>
      <c r="H419" s="471"/>
      <c r="I419" s="471"/>
      <c r="J419" s="471"/>
      <c r="K419" s="471"/>
      <c r="L419" s="471"/>
      <c r="M419" s="471"/>
      <c r="N419" s="471"/>
      <c r="O419" s="471"/>
      <c r="P419" s="471"/>
      <c r="Q419" s="471"/>
      <c r="R419" s="29"/>
      <c r="S419" s="29"/>
    </row>
    <row r="420" spans="1:19" s="354" customFormat="1" ht="15.75" customHeight="1" x14ac:dyDescent="0.25">
      <c r="A420" s="115">
        <v>379</v>
      </c>
      <c r="B420" s="448" t="s">
        <v>26</v>
      </c>
      <c r="C420" s="440"/>
      <c r="D420" s="441"/>
      <c r="E420" s="115">
        <v>200</v>
      </c>
      <c r="F420" s="115">
        <v>3.58</v>
      </c>
      <c r="G420" s="115">
        <v>2.68</v>
      </c>
      <c r="H420" s="115">
        <v>28.34</v>
      </c>
      <c r="I420" s="115">
        <v>151.80000000000001</v>
      </c>
      <c r="J420" s="115">
        <v>0.02</v>
      </c>
      <c r="K420" s="115">
        <v>1.3</v>
      </c>
      <c r="L420" s="115">
        <v>0</v>
      </c>
      <c r="M420" s="115">
        <v>0</v>
      </c>
      <c r="N420" s="115">
        <v>125.78</v>
      </c>
      <c r="O420" s="115">
        <v>14</v>
      </c>
      <c r="P420" s="115">
        <v>14</v>
      </c>
      <c r="Q420" s="115">
        <v>0.13</v>
      </c>
      <c r="R420" s="29"/>
      <c r="S420" s="29"/>
    </row>
    <row r="421" spans="1:19" s="354" customFormat="1" ht="15.75" customHeight="1" x14ac:dyDescent="0.25">
      <c r="A421" s="106" t="s">
        <v>27</v>
      </c>
      <c r="B421" s="439" t="s">
        <v>28</v>
      </c>
      <c r="C421" s="440"/>
      <c r="D421" s="441"/>
      <c r="E421" s="99">
        <v>45</v>
      </c>
      <c r="F421" s="117">
        <f>2.26*E421/30</f>
        <v>3.3899999999999997</v>
      </c>
      <c r="G421" s="117">
        <f>0.23*E421/30</f>
        <v>0.34499999999999997</v>
      </c>
      <c r="H421" s="117">
        <f>14.66*E421/30</f>
        <v>21.990000000000002</v>
      </c>
      <c r="I421" s="117">
        <f>68.86*E421/30</f>
        <v>103.28999999999999</v>
      </c>
      <c r="J421" s="117">
        <v>0</v>
      </c>
      <c r="K421" s="117">
        <v>0</v>
      </c>
      <c r="L421" s="117">
        <v>0</v>
      </c>
      <c r="M421" s="117">
        <v>0</v>
      </c>
      <c r="N421" s="117">
        <f>12.97*E421/30</f>
        <v>19.454999999999998</v>
      </c>
      <c r="O421" s="117">
        <v>0</v>
      </c>
      <c r="P421" s="117">
        <f>2.83*E421/30</f>
        <v>4.2450000000000001</v>
      </c>
      <c r="Q421" s="117">
        <f>0.74*E421/30</f>
        <v>1.1099999999999999</v>
      </c>
      <c r="R421" s="17"/>
      <c r="S421" s="17"/>
    </row>
    <row r="422" spans="1:19" s="354" customFormat="1" ht="15.75" customHeight="1" x14ac:dyDescent="0.25">
      <c r="A422" s="117"/>
      <c r="B422" s="641" t="s">
        <v>29</v>
      </c>
      <c r="C422" s="472"/>
      <c r="D422" s="473"/>
      <c r="E422" s="100">
        <f>SUM(E416:E421)+5+15+30</f>
        <v>571.875</v>
      </c>
      <c r="F422" s="117">
        <f t="shared" ref="F422:Q422" si="76">SUM(F416:F421)</f>
        <v>34.695</v>
      </c>
      <c r="G422" s="117">
        <f t="shared" si="76"/>
        <v>46.938749999999999</v>
      </c>
      <c r="H422" s="117">
        <f t="shared" si="76"/>
        <v>76.486250000000013</v>
      </c>
      <c r="I422" s="117">
        <f t="shared" si="76"/>
        <v>865.92875000000004</v>
      </c>
      <c r="J422" s="117">
        <f t="shared" si="76"/>
        <v>0.06</v>
      </c>
      <c r="K422" s="117">
        <f t="shared" si="76"/>
        <v>4.0825000000000005</v>
      </c>
      <c r="L422" s="117">
        <f t="shared" si="76"/>
        <v>0.03</v>
      </c>
      <c r="M422" s="117">
        <f t="shared" si="76"/>
        <v>0.11</v>
      </c>
      <c r="N422" s="117">
        <f t="shared" si="76"/>
        <v>502.59499999999997</v>
      </c>
      <c r="O422" s="117">
        <f t="shared" si="76"/>
        <v>23.45</v>
      </c>
      <c r="P422" s="117">
        <f t="shared" si="76"/>
        <v>151.89500000000001</v>
      </c>
      <c r="Q422" s="117">
        <f t="shared" si="76"/>
        <v>6.3350000000000009</v>
      </c>
      <c r="R422" s="23"/>
      <c r="S422" s="23"/>
    </row>
    <row r="423" spans="1:19" s="354" customFormat="1" ht="15.75" customHeight="1" x14ac:dyDescent="0.25">
      <c r="A423" s="118"/>
      <c r="B423" s="642" t="s">
        <v>30</v>
      </c>
      <c r="C423" s="446"/>
      <c r="D423" s="447"/>
      <c r="E423" s="174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3"/>
      <c r="S423" s="3"/>
    </row>
    <row r="424" spans="1:19" s="354" customFormat="1" ht="15.75" customHeight="1" x14ac:dyDescent="0.25">
      <c r="A424" s="119">
        <v>338</v>
      </c>
      <c r="B424" s="637" t="s">
        <v>31</v>
      </c>
      <c r="C424" s="440"/>
      <c r="D424" s="441"/>
      <c r="E424" s="204">
        <v>300</v>
      </c>
      <c r="F424" s="204">
        <f>1.2*E424/300</f>
        <v>1.2</v>
      </c>
      <c r="G424" s="178">
        <f>1.2*E424/300</f>
        <v>1.2</v>
      </c>
      <c r="H424" s="204">
        <f>29.4*E424/300</f>
        <v>29.4</v>
      </c>
      <c r="I424" s="204">
        <f>132*E424/300</f>
        <v>132</v>
      </c>
      <c r="J424" s="204">
        <v>0</v>
      </c>
      <c r="K424" s="204">
        <f>30*E424/300</f>
        <v>30</v>
      </c>
      <c r="L424" s="204">
        <v>0</v>
      </c>
      <c r="M424" s="204">
        <v>0</v>
      </c>
      <c r="N424" s="204">
        <f>48*E424/300</f>
        <v>48</v>
      </c>
      <c r="O424" s="204">
        <v>0</v>
      </c>
      <c r="P424" s="204">
        <f>27*E424/300</f>
        <v>27</v>
      </c>
      <c r="Q424" s="204">
        <f>6.6*E424/300</f>
        <v>6.6</v>
      </c>
      <c r="R424" s="21"/>
      <c r="S424" s="21"/>
    </row>
    <row r="425" spans="1:19" s="354" customFormat="1" ht="15.75" customHeight="1" x14ac:dyDescent="0.25">
      <c r="A425" s="120"/>
      <c r="B425" s="643" t="s">
        <v>32</v>
      </c>
      <c r="C425" s="472"/>
      <c r="D425" s="473"/>
      <c r="E425" s="179">
        <f>E424</f>
        <v>300</v>
      </c>
      <c r="F425" s="177">
        <f t="shared" ref="F425:I425" si="77">SUM(F424)</f>
        <v>1.2</v>
      </c>
      <c r="G425" s="177">
        <f t="shared" si="77"/>
        <v>1.2</v>
      </c>
      <c r="H425" s="177">
        <f t="shared" si="77"/>
        <v>29.4</v>
      </c>
      <c r="I425" s="177">
        <f t="shared" si="77"/>
        <v>132</v>
      </c>
      <c r="J425" s="177">
        <f>J424</f>
        <v>0</v>
      </c>
      <c r="K425" s="177">
        <f t="shared" ref="K425:Q425" si="78">SUM(K424)</f>
        <v>30</v>
      </c>
      <c r="L425" s="177">
        <f t="shared" si="78"/>
        <v>0</v>
      </c>
      <c r="M425" s="177">
        <f t="shared" si="78"/>
        <v>0</v>
      </c>
      <c r="N425" s="177">
        <f t="shared" si="78"/>
        <v>48</v>
      </c>
      <c r="O425" s="177">
        <f t="shared" si="78"/>
        <v>0</v>
      </c>
      <c r="P425" s="177">
        <f t="shared" si="78"/>
        <v>27</v>
      </c>
      <c r="Q425" s="177">
        <f t="shared" si="78"/>
        <v>6.6</v>
      </c>
      <c r="R425" s="24"/>
      <c r="S425" s="24"/>
    </row>
    <row r="426" spans="1:19" s="354" customFormat="1" ht="15.75" customHeight="1" x14ac:dyDescent="0.25">
      <c r="A426" s="201"/>
      <c r="B426" s="522" t="s">
        <v>33</v>
      </c>
      <c r="C426" s="446"/>
      <c r="D426" s="447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"/>
      <c r="S426" s="1"/>
    </row>
    <row r="427" spans="1:19" s="354" customFormat="1" ht="15.75" customHeight="1" x14ac:dyDescent="0.25">
      <c r="A427" s="106">
        <v>52</v>
      </c>
      <c r="B427" s="448" t="s">
        <v>80</v>
      </c>
      <c r="C427" s="440"/>
      <c r="D427" s="441"/>
      <c r="E427" s="106">
        <v>150</v>
      </c>
      <c r="F427" s="106">
        <f>1.4*E427/100</f>
        <v>2.1</v>
      </c>
      <c r="G427" s="106">
        <f>6.01*E427/100</f>
        <v>9.0150000000000006</v>
      </c>
      <c r="H427" s="106">
        <f>8.26*E427/100</f>
        <v>12.39</v>
      </c>
      <c r="I427" s="106">
        <f>92.8*E427/100</f>
        <v>139.19999999999999</v>
      </c>
      <c r="J427" s="106">
        <f>0*E427/100</f>
        <v>0</v>
      </c>
      <c r="K427" s="106">
        <f>9.5*E427/100</f>
        <v>14.25</v>
      </c>
      <c r="L427" s="106">
        <f>0*E427/100</f>
        <v>0</v>
      </c>
      <c r="M427" s="106">
        <f>0*E427/100</f>
        <v>0</v>
      </c>
      <c r="N427" s="106">
        <f>35.15*E427/100</f>
        <v>52.725000000000001</v>
      </c>
      <c r="O427" s="106">
        <f>0*E427/100</f>
        <v>0</v>
      </c>
      <c r="P427" s="106">
        <f>20.9*E427/100</f>
        <v>31.35</v>
      </c>
      <c r="Q427" s="106">
        <f>1.33*E427/100</f>
        <v>1.9950000000000001</v>
      </c>
      <c r="R427" s="17"/>
      <c r="S427" s="17"/>
    </row>
    <row r="428" spans="1:19" s="354" customFormat="1" ht="27.75" customHeight="1" x14ac:dyDescent="0.25">
      <c r="A428" s="209">
        <v>102</v>
      </c>
      <c r="B428" s="482" t="s">
        <v>81</v>
      </c>
      <c r="C428" s="780"/>
      <c r="D428" s="781"/>
      <c r="E428" s="135">
        <v>250</v>
      </c>
      <c r="F428" s="205">
        <f>5.08*E428/250</f>
        <v>5.08</v>
      </c>
      <c r="G428" s="205">
        <f>5.35*E428/250</f>
        <v>5.35</v>
      </c>
      <c r="H428" s="205">
        <f>23.85*E428/250</f>
        <v>23.85</v>
      </c>
      <c r="I428" s="205">
        <f>163.87*E428/250</f>
        <v>163.87</v>
      </c>
      <c r="J428" s="205" t="s">
        <v>35</v>
      </c>
      <c r="K428" s="205">
        <f>6.25*E428/250</f>
        <v>6.25</v>
      </c>
      <c r="L428" s="205">
        <f>0*E428/250</f>
        <v>0</v>
      </c>
      <c r="M428" s="205">
        <f>0*E428/250</f>
        <v>0</v>
      </c>
      <c r="N428" s="205">
        <f>47.5*E428/250</f>
        <v>47.5</v>
      </c>
      <c r="O428" s="205">
        <f>0*E428/250</f>
        <v>0</v>
      </c>
      <c r="P428" s="205">
        <f>37.5*E428/250</f>
        <v>37.5</v>
      </c>
      <c r="Q428" s="205">
        <f>2.25*E428/250</f>
        <v>2.25</v>
      </c>
      <c r="R428" s="17"/>
      <c r="S428" s="17"/>
    </row>
    <row r="429" spans="1:19" s="354" customFormat="1" ht="15.75" customHeight="1" x14ac:dyDescent="0.25">
      <c r="A429" s="203">
        <v>291</v>
      </c>
      <c r="B429" s="595" t="s">
        <v>82</v>
      </c>
      <c r="C429" s="440"/>
      <c r="D429" s="441"/>
      <c r="E429" s="115" t="s">
        <v>83</v>
      </c>
      <c r="F429" s="347">
        <v>27.02</v>
      </c>
      <c r="G429" s="347">
        <v>13.42</v>
      </c>
      <c r="H429" s="347">
        <v>54.68</v>
      </c>
      <c r="I429" s="347">
        <v>448</v>
      </c>
      <c r="J429" s="347">
        <v>0</v>
      </c>
      <c r="K429" s="347">
        <v>9.8000000000000007</v>
      </c>
      <c r="L429" s="347">
        <v>0</v>
      </c>
      <c r="M429" s="347">
        <v>0</v>
      </c>
      <c r="N429" s="347">
        <v>54.14</v>
      </c>
      <c r="O429" s="347">
        <v>1.2</v>
      </c>
      <c r="P429" s="347">
        <v>80.900000000000006</v>
      </c>
      <c r="Q429" s="347">
        <v>2.8</v>
      </c>
      <c r="R429" s="17"/>
      <c r="S429" s="17"/>
    </row>
    <row r="430" spans="1:19" s="354" customFormat="1" ht="15.75" customHeight="1" x14ac:dyDescent="0.25">
      <c r="A430" s="350">
        <v>342</v>
      </c>
      <c r="B430" s="644" t="s">
        <v>38</v>
      </c>
      <c r="C430" s="563"/>
      <c r="D430" s="564"/>
      <c r="E430" s="101">
        <v>200</v>
      </c>
      <c r="F430" s="356">
        <v>0.08</v>
      </c>
      <c r="G430" s="356">
        <v>0</v>
      </c>
      <c r="H430" s="356">
        <v>21.82</v>
      </c>
      <c r="I430" s="356">
        <v>87.6</v>
      </c>
      <c r="J430" s="356">
        <v>0</v>
      </c>
      <c r="K430" s="356">
        <v>2.25</v>
      </c>
      <c r="L430" s="356">
        <v>0</v>
      </c>
      <c r="M430" s="356">
        <v>0</v>
      </c>
      <c r="N430" s="356">
        <v>17</v>
      </c>
      <c r="O430" s="356">
        <v>0</v>
      </c>
      <c r="P430" s="356">
        <v>9</v>
      </c>
      <c r="Q430" s="356">
        <v>2.2000000000000002</v>
      </c>
      <c r="R430" s="29"/>
      <c r="S430" s="29"/>
    </row>
    <row r="431" spans="1:19" s="354" customFormat="1" ht="15.75" customHeight="1" x14ac:dyDescent="0.25">
      <c r="A431" s="269" t="s">
        <v>27</v>
      </c>
      <c r="B431" s="649" t="s">
        <v>39</v>
      </c>
      <c r="C431" s="649"/>
      <c r="D431" s="649"/>
      <c r="E431" s="270">
        <v>120</v>
      </c>
      <c r="F431" s="271">
        <f>4.03*E431/50</f>
        <v>9.6720000000000006</v>
      </c>
      <c r="G431" s="271">
        <f>0.5*E431/50</f>
        <v>1.2</v>
      </c>
      <c r="H431" s="271">
        <f>22.36*E431/50</f>
        <v>53.663999999999994</v>
      </c>
      <c r="I431" s="271">
        <f>98.86*E431/50</f>
        <v>237.26400000000001</v>
      </c>
      <c r="J431" s="271">
        <v>0</v>
      </c>
      <c r="K431" s="271">
        <v>0</v>
      </c>
      <c r="L431" s="271">
        <v>0</v>
      </c>
      <c r="M431" s="271">
        <v>0</v>
      </c>
      <c r="N431" s="271">
        <f>17.59*E431/50</f>
        <v>42.216000000000001</v>
      </c>
      <c r="O431" s="271">
        <v>0</v>
      </c>
      <c r="P431" s="271">
        <f>1.89*E431/50</f>
        <v>4.5359999999999996</v>
      </c>
      <c r="Q431" s="271">
        <f>0.88*E431/50</f>
        <v>2.1120000000000001</v>
      </c>
      <c r="R431" s="17"/>
      <c r="S431" s="17"/>
    </row>
    <row r="432" spans="1:19" s="354" customFormat="1" ht="15.75" customHeight="1" x14ac:dyDescent="0.25">
      <c r="A432" s="351" t="s">
        <v>27</v>
      </c>
      <c r="B432" s="645" t="s">
        <v>28</v>
      </c>
      <c r="C432" s="646"/>
      <c r="D432" s="647"/>
      <c r="E432" s="198">
        <v>45</v>
      </c>
      <c r="F432" s="357">
        <f>2.26*E432/30</f>
        <v>3.3899999999999997</v>
      </c>
      <c r="G432" s="357">
        <f>0.23*E432/30</f>
        <v>0.34499999999999997</v>
      </c>
      <c r="H432" s="357">
        <f>14.66*E432/30</f>
        <v>21.990000000000002</v>
      </c>
      <c r="I432" s="357">
        <f>68.86*E432/30</f>
        <v>103.28999999999999</v>
      </c>
      <c r="J432" s="357">
        <v>0</v>
      </c>
      <c r="K432" s="357">
        <v>0</v>
      </c>
      <c r="L432" s="357">
        <v>0</v>
      </c>
      <c r="M432" s="357">
        <v>0</v>
      </c>
      <c r="N432" s="357">
        <f>12.97*E432/30</f>
        <v>19.454999999999998</v>
      </c>
      <c r="O432" s="357">
        <v>0</v>
      </c>
      <c r="P432" s="357">
        <f>2.83*E432/30</f>
        <v>4.2450000000000001</v>
      </c>
      <c r="Q432" s="357">
        <f>0.74*E432/30</f>
        <v>1.1099999999999999</v>
      </c>
      <c r="R432" s="17"/>
      <c r="S432" s="17"/>
    </row>
    <row r="433" spans="1:19" s="354" customFormat="1" ht="15.75" customHeight="1" x14ac:dyDescent="0.25">
      <c r="A433" s="106"/>
      <c r="B433" s="442" t="s">
        <v>65</v>
      </c>
      <c r="C433" s="472"/>
      <c r="D433" s="473"/>
      <c r="E433" s="106">
        <f t="shared" ref="E433:Q433" si="79">SUM(E427:E432)</f>
        <v>765</v>
      </c>
      <c r="F433" s="117">
        <f t="shared" si="79"/>
        <v>47.341999999999999</v>
      </c>
      <c r="G433" s="117">
        <f t="shared" si="79"/>
        <v>29.33</v>
      </c>
      <c r="H433" s="117">
        <f t="shared" si="79"/>
        <v>188.39400000000001</v>
      </c>
      <c r="I433" s="117">
        <f t="shared" si="79"/>
        <v>1179.2239999999999</v>
      </c>
      <c r="J433" s="117">
        <f t="shared" si="79"/>
        <v>0</v>
      </c>
      <c r="K433" s="117">
        <f t="shared" si="79"/>
        <v>32.549999999999997</v>
      </c>
      <c r="L433" s="117">
        <f t="shared" si="79"/>
        <v>0</v>
      </c>
      <c r="M433" s="117">
        <f t="shared" si="79"/>
        <v>0</v>
      </c>
      <c r="N433" s="117">
        <f t="shared" si="79"/>
        <v>233.036</v>
      </c>
      <c r="O433" s="117">
        <f t="shared" si="79"/>
        <v>1.2</v>
      </c>
      <c r="P433" s="117">
        <f t="shared" si="79"/>
        <v>167.53100000000001</v>
      </c>
      <c r="Q433" s="117">
        <f t="shared" si="79"/>
        <v>12.467000000000001</v>
      </c>
      <c r="R433" s="17"/>
      <c r="S433" s="17"/>
    </row>
    <row r="434" spans="1:19" s="354" customFormat="1" ht="15.75" customHeight="1" x14ac:dyDescent="0.25">
      <c r="A434" s="201"/>
      <c r="B434" s="522" t="s">
        <v>41</v>
      </c>
      <c r="C434" s="446"/>
      <c r="D434" s="447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"/>
      <c r="S434" s="1"/>
    </row>
    <row r="435" spans="1:19" s="354" customFormat="1" ht="18" customHeight="1" x14ac:dyDescent="0.25">
      <c r="A435" s="348" t="s">
        <v>84</v>
      </c>
      <c r="B435" s="448" t="s">
        <v>85</v>
      </c>
      <c r="C435" s="440"/>
      <c r="D435" s="441"/>
      <c r="E435" s="115">
        <v>150</v>
      </c>
      <c r="F435" s="129">
        <f>6.83*E435/100</f>
        <v>10.244999999999999</v>
      </c>
      <c r="G435" s="129">
        <f>5.33*E435/100</f>
        <v>7.9950000000000001</v>
      </c>
      <c r="H435" s="129">
        <f>39.3*E435/100</f>
        <v>58.95</v>
      </c>
      <c r="I435" s="129">
        <f>234*E435/100</f>
        <v>351</v>
      </c>
      <c r="J435" s="129">
        <v>0</v>
      </c>
      <c r="K435" s="129">
        <f>0.85*E435/100</f>
        <v>1.2749999999999999</v>
      </c>
      <c r="L435" s="129">
        <v>0</v>
      </c>
      <c r="M435" s="129">
        <v>0</v>
      </c>
      <c r="N435" s="129">
        <f>22.83*E435/100</f>
        <v>34.244999999999997</v>
      </c>
      <c r="O435" s="129">
        <v>0</v>
      </c>
      <c r="P435" s="129">
        <f>28*E435/100</f>
        <v>42</v>
      </c>
      <c r="Q435" s="129">
        <f>1.35*E435/100</f>
        <v>2.0249999999999999</v>
      </c>
      <c r="R435" s="29"/>
      <c r="S435" s="29"/>
    </row>
    <row r="436" spans="1:19" s="354" customFormat="1" ht="15.75" customHeight="1" x14ac:dyDescent="0.25">
      <c r="A436" s="106">
        <v>379</v>
      </c>
      <c r="B436" s="439" t="s">
        <v>26</v>
      </c>
      <c r="C436" s="440"/>
      <c r="D436" s="441"/>
      <c r="E436" s="115">
        <v>200</v>
      </c>
      <c r="F436" s="129">
        <v>3.58</v>
      </c>
      <c r="G436" s="129">
        <v>2.68</v>
      </c>
      <c r="H436" s="129">
        <v>28.34</v>
      </c>
      <c r="I436" s="129">
        <v>151.80000000000001</v>
      </c>
      <c r="J436" s="129">
        <v>0.02</v>
      </c>
      <c r="K436" s="129">
        <v>0.04</v>
      </c>
      <c r="L436" s="129">
        <v>0.1</v>
      </c>
      <c r="M436" s="129">
        <v>1.3</v>
      </c>
      <c r="N436" s="129">
        <v>125.78</v>
      </c>
      <c r="O436" s="129">
        <v>0</v>
      </c>
      <c r="P436" s="129">
        <v>14</v>
      </c>
      <c r="Q436" s="129">
        <v>0.13</v>
      </c>
      <c r="R436" s="29"/>
      <c r="S436" s="29"/>
    </row>
    <row r="437" spans="1:19" s="354" customFormat="1" ht="15.75" customHeight="1" x14ac:dyDescent="0.25">
      <c r="A437" s="106"/>
      <c r="B437" s="442" t="s">
        <v>86</v>
      </c>
      <c r="C437" s="472"/>
      <c r="D437" s="473"/>
      <c r="E437" s="106">
        <f t="shared" ref="E437:Q437" si="80">SUM(E435:E436)</f>
        <v>350</v>
      </c>
      <c r="F437" s="132">
        <f t="shared" si="80"/>
        <v>13.824999999999999</v>
      </c>
      <c r="G437" s="117">
        <f t="shared" si="80"/>
        <v>10.675000000000001</v>
      </c>
      <c r="H437" s="117">
        <f t="shared" si="80"/>
        <v>87.29</v>
      </c>
      <c r="I437" s="117">
        <f t="shared" si="80"/>
        <v>502.8</v>
      </c>
      <c r="J437" s="117">
        <f t="shared" si="80"/>
        <v>0.02</v>
      </c>
      <c r="K437" s="117">
        <f t="shared" si="80"/>
        <v>1.3149999999999999</v>
      </c>
      <c r="L437" s="117">
        <f t="shared" si="80"/>
        <v>0.1</v>
      </c>
      <c r="M437" s="117">
        <f t="shared" si="80"/>
        <v>1.3</v>
      </c>
      <c r="N437" s="117">
        <f t="shared" si="80"/>
        <v>160.02500000000001</v>
      </c>
      <c r="O437" s="117">
        <f t="shared" si="80"/>
        <v>0</v>
      </c>
      <c r="P437" s="117">
        <f t="shared" si="80"/>
        <v>56</v>
      </c>
      <c r="Q437" s="117">
        <f t="shared" si="80"/>
        <v>2.1549999999999998</v>
      </c>
      <c r="R437" s="17"/>
      <c r="S437" s="17"/>
    </row>
    <row r="438" spans="1:19" s="354" customFormat="1" ht="15.75" customHeight="1" x14ac:dyDescent="0.25">
      <c r="A438" s="201"/>
      <c r="B438" s="474" t="s">
        <v>87</v>
      </c>
      <c r="C438" s="446"/>
      <c r="D438" s="447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"/>
      <c r="S438" s="1"/>
    </row>
    <row r="439" spans="1:19" s="354" customFormat="1" ht="15.75" customHeight="1" x14ac:dyDescent="0.25">
      <c r="A439" s="115">
        <v>321</v>
      </c>
      <c r="B439" s="448" t="s">
        <v>88</v>
      </c>
      <c r="C439" s="440"/>
      <c r="D439" s="441"/>
      <c r="E439" s="95">
        <v>100</v>
      </c>
      <c r="F439" s="129">
        <v>4.13</v>
      </c>
      <c r="G439" s="129">
        <v>6.47</v>
      </c>
      <c r="H439" s="129">
        <v>18.850000000000001</v>
      </c>
      <c r="I439" s="129">
        <v>150.19999999999999</v>
      </c>
      <c r="J439" s="129" t="s">
        <v>35</v>
      </c>
      <c r="K439" s="129">
        <v>34.25</v>
      </c>
      <c r="L439" s="129">
        <f>0*E439/100</f>
        <v>0</v>
      </c>
      <c r="M439" s="129">
        <f>0*E439/100</f>
        <v>0</v>
      </c>
      <c r="N439" s="129">
        <v>110.9</v>
      </c>
      <c r="O439" s="129">
        <f>0*E439/100</f>
        <v>0</v>
      </c>
      <c r="P439" s="129">
        <v>41.3</v>
      </c>
      <c r="Q439" s="129">
        <v>1.61</v>
      </c>
      <c r="R439" s="56"/>
      <c r="S439" s="29"/>
    </row>
    <row r="440" spans="1:19" s="354" customFormat="1" ht="15.75" customHeight="1" x14ac:dyDescent="0.25">
      <c r="A440" s="627" t="s">
        <v>89</v>
      </c>
      <c r="B440" s="639" t="s">
        <v>90</v>
      </c>
      <c r="C440" s="476"/>
      <c r="D440" s="477"/>
      <c r="E440" s="206">
        <v>120</v>
      </c>
      <c r="F440" s="648">
        <f>14.14*(E440+E441)/(120+50)</f>
        <v>14.140033270588239</v>
      </c>
      <c r="G440" s="648">
        <f>18.75*(E440+E441)/(120+50)</f>
        <v>18.750044117647061</v>
      </c>
      <c r="H440" s="648">
        <f>7.75*(E440+E441)/(120+50)</f>
        <v>7.7500182352941183</v>
      </c>
      <c r="I440" s="648">
        <f>256.31*(E440+E441)/(120+50)</f>
        <v>256.310603082353</v>
      </c>
      <c r="J440" s="648">
        <v>0</v>
      </c>
      <c r="K440" s="648">
        <f>1*(E440+E441)/(120+50)</f>
        <v>1.0000023529411766</v>
      </c>
      <c r="L440" s="648">
        <v>0</v>
      </c>
      <c r="M440" s="648">
        <v>0</v>
      </c>
      <c r="N440" s="648">
        <f>11.56*(E440+E441)/(120+50)</f>
        <v>11.5600272</v>
      </c>
      <c r="O440" s="648">
        <v>0</v>
      </c>
      <c r="P440" s="648">
        <f>18*(E440+E441)/(120+50)</f>
        <v>18.000042352941175</v>
      </c>
      <c r="Q440" s="648">
        <f>3*(E440+E441)/(120+50)</f>
        <v>3.0000070588235297</v>
      </c>
      <c r="R440" s="24"/>
      <c r="S440" s="24"/>
    </row>
    <row r="441" spans="1:19" s="354" customFormat="1" ht="15.75" customHeight="1" x14ac:dyDescent="0.25">
      <c r="A441" s="471"/>
      <c r="B441" s="640"/>
      <c r="C441" s="479"/>
      <c r="D441" s="480"/>
      <c r="E441" s="207">
        <f>E440*41.667/100</f>
        <v>50.000399999999999</v>
      </c>
      <c r="F441" s="603"/>
      <c r="G441" s="603"/>
      <c r="H441" s="603"/>
      <c r="I441" s="603"/>
      <c r="J441" s="603"/>
      <c r="K441" s="603"/>
      <c r="L441" s="603"/>
      <c r="M441" s="603"/>
      <c r="N441" s="603"/>
      <c r="O441" s="603"/>
      <c r="P441" s="603"/>
      <c r="Q441" s="603"/>
      <c r="R441" s="24"/>
      <c r="S441" s="24"/>
    </row>
    <row r="442" spans="1:19" s="354" customFormat="1" ht="15.75" customHeight="1" x14ac:dyDescent="0.25">
      <c r="A442" s="223">
        <v>310</v>
      </c>
      <c r="B442" s="439" t="s">
        <v>91</v>
      </c>
      <c r="C442" s="440"/>
      <c r="D442" s="441"/>
      <c r="E442" s="208">
        <v>200</v>
      </c>
      <c r="F442" s="209">
        <f>3.81*E442/200</f>
        <v>3.81</v>
      </c>
      <c r="G442" s="209">
        <f>5.75*E442/200</f>
        <v>5.75</v>
      </c>
      <c r="H442" s="209">
        <f>30.68*E442/200</f>
        <v>30.68</v>
      </c>
      <c r="I442" s="209">
        <f>189.8*E442/200</f>
        <v>189.8</v>
      </c>
      <c r="J442" s="205">
        <f>0*E442/200</f>
        <v>0</v>
      </c>
      <c r="K442" s="205">
        <f>28*E442/200</f>
        <v>28</v>
      </c>
      <c r="L442" s="205">
        <f>0*E442/200</f>
        <v>0</v>
      </c>
      <c r="M442" s="205">
        <f>0*E442/200</f>
        <v>0</v>
      </c>
      <c r="N442" s="205">
        <f>19.52*E442/200</f>
        <v>19.52</v>
      </c>
      <c r="O442" s="205">
        <f>0*E442/200</f>
        <v>0</v>
      </c>
      <c r="P442" s="205">
        <f>39.1*E442/200</f>
        <v>39.1</v>
      </c>
      <c r="Q442" s="205">
        <f>1.54*E442/200</f>
        <v>1.54</v>
      </c>
      <c r="R442" s="21"/>
      <c r="S442" s="21"/>
    </row>
    <row r="443" spans="1:19" s="354" customFormat="1" ht="17.25" customHeight="1" x14ac:dyDescent="0.25">
      <c r="A443" s="106">
        <v>389</v>
      </c>
      <c r="B443" s="540" t="s">
        <v>92</v>
      </c>
      <c r="C443" s="440"/>
      <c r="D443" s="441"/>
      <c r="E443" s="100">
        <v>200</v>
      </c>
      <c r="F443" s="117">
        <v>1</v>
      </c>
      <c r="G443" s="117">
        <v>0</v>
      </c>
      <c r="H443" s="117">
        <v>20.2</v>
      </c>
      <c r="I443" s="117">
        <v>84.8</v>
      </c>
      <c r="J443" s="117">
        <v>0</v>
      </c>
      <c r="K443" s="117">
        <v>4</v>
      </c>
      <c r="L443" s="117">
        <v>0</v>
      </c>
      <c r="M443" s="117">
        <v>0</v>
      </c>
      <c r="N443" s="117">
        <v>14</v>
      </c>
      <c r="O443" s="117">
        <v>0</v>
      </c>
      <c r="P443" s="117">
        <v>8</v>
      </c>
      <c r="Q443" s="117">
        <v>2.8</v>
      </c>
      <c r="R443" s="29"/>
      <c r="S443" s="29"/>
    </row>
    <row r="444" spans="1:19" s="354" customFormat="1" ht="15.75" customHeight="1" x14ac:dyDescent="0.25">
      <c r="A444" s="106" t="s">
        <v>27</v>
      </c>
      <c r="B444" s="41" t="s">
        <v>39</v>
      </c>
      <c r="C444" s="41"/>
      <c r="D444" s="41"/>
      <c r="E444" s="99">
        <v>75</v>
      </c>
      <c r="F444" s="117">
        <f>4.03*E444/50</f>
        <v>6.0449999999999999</v>
      </c>
      <c r="G444" s="117">
        <f>0.5*E444/50</f>
        <v>0.75</v>
      </c>
      <c r="H444" s="117">
        <f>22.36*E444/50</f>
        <v>33.54</v>
      </c>
      <c r="I444" s="117">
        <f>98.86*E444/50</f>
        <v>148.29</v>
      </c>
      <c r="J444" s="117">
        <v>0</v>
      </c>
      <c r="K444" s="117">
        <v>0</v>
      </c>
      <c r="L444" s="117">
        <v>0</v>
      </c>
      <c r="M444" s="117">
        <v>0</v>
      </c>
      <c r="N444" s="117">
        <f>17.59*E444/50</f>
        <v>26.385000000000002</v>
      </c>
      <c r="O444" s="117">
        <v>0</v>
      </c>
      <c r="P444" s="117">
        <f>1.89*E444/50</f>
        <v>2.835</v>
      </c>
      <c r="Q444" s="117">
        <f>0.88*E444/50</f>
        <v>1.32</v>
      </c>
      <c r="R444" s="17"/>
      <c r="S444" s="17"/>
    </row>
    <row r="445" spans="1:19" s="354" customFormat="1" ht="15.75" customHeight="1" x14ac:dyDescent="0.25">
      <c r="A445" s="106" t="s">
        <v>27</v>
      </c>
      <c r="B445" s="439" t="s">
        <v>28</v>
      </c>
      <c r="C445" s="440"/>
      <c r="D445" s="441"/>
      <c r="E445" s="99">
        <v>45</v>
      </c>
      <c r="F445" s="117">
        <f>2.26*E445/30</f>
        <v>3.3899999999999997</v>
      </c>
      <c r="G445" s="117">
        <f>0.23*E445/30</f>
        <v>0.34499999999999997</v>
      </c>
      <c r="H445" s="117">
        <f>14.66*E445/30</f>
        <v>21.990000000000002</v>
      </c>
      <c r="I445" s="117">
        <f>68.86*E445/30</f>
        <v>103.28999999999999</v>
      </c>
      <c r="J445" s="117">
        <v>0</v>
      </c>
      <c r="K445" s="117">
        <v>0</v>
      </c>
      <c r="L445" s="117">
        <v>0</v>
      </c>
      <c r="M445" s="117">
        <v>0</v>
      </c>
      <c r="N445" s="117">
        <f>12.97*E445/30</f>
        <v>19.454999999999998</v>
      </c>
      <c r="O445" s="117">
        <v>0</v>
      </c>
      <c r="P445" s="117">
        <f>2.83*E445/30</f>
        <v>4.2450000000000001</v>
      </c>
      <c r="Q445" s="117">
        <f>0.74*E445/30</f>
        <v>1.1099999999999999</v>
      </c>
      <c r="R445" s="17"/>
      <c r="S445" s="17"/>
    </row>
    <row r="446" spans="1:19" s="354" customFormat="1" ht="14.25" customHeight="1" x14ac:dyDescent="0.25">
      <c r="A446" s="106"/>
      <c r="B446" s="442" t="s">
        <v>72</v>
      </c>
      <c r="C446" s="472"/>
      <c r="D446" s="473"/>
      <c r="E446" s="99">
        <f t="shared" ref="E446:Q446" si="81">SUM(E439:E445)</f>
        <v>790.00040000000001</v>
      </c>
      <c r="F446" s="117">
        <f t="shared" si="81"/>
        <v>32.515033270588241</v>
      </c>
      <c r="G446" s="117">
        <f t="shared" si="81"/>
        <v>32.065044117647062</v>
      </c>
      <c r="H446" s="117">
        <f t="shared" si="81"/>
        <v>133.01001823529413</v>
      </c>
      <c r="I446" s="132">
        <f t="shared" si="81"/>
        <v>932.69060308235294</v>
      </c>
      <c r="J446" s="117">
        <f t="shared" si="81"/>
        <v>0</v>
      </c>
      <c r="K446" s="117">
        <f t="shared" si="81"/>
        <v>67.250002352941181</v>
      </c>
      <c r="L446" s="117">
        <f t="shared" si="81"/>
        <v>0</v>
      </c>
      <c r="M446" s="117">
        <f t="shared" si="81"/>
        <v>0</v>
      </c>
      <c r="N446" s="117">
        <f t="shared" si="81"/>
        <v>201.82002720000003</v>
      </c>
      <c r="O446" s="117">
        <f t="shared" si="81"/>
        <v>0</v>
      </c>
      <c r="P446" s="117">
        <f t="shared" si="81"/>
        <v>113.48004235294117</v>
      </c>
      <c r="Q446" s="117">
        <f t="shared" si="81"/>
        <v>11.38000705882353</v>
      </c>
      <c r="R446" s="29"/>
      <c r="S446" s="29"/>
    </row>
    <row r="447" spans="1:19" s="354" customFormat="1" ht="15.75" customHeight="1" x14ac:dyDescent="0.25">
      <c r="A447" s="201"/>
      <c r="B447" s="474" t="s">
        <v>73</v>
      </c>
      <c r="C447" s="446"/>
      <c r="D447" s="447"/>
      <c r="E447" s="201"/>
      <c r="F447" s="201"/>
      <c r="G447" s="201"/>
      <c r="H447" s="201"/>
      <c r="I447" s="210"/>
      <c r="J447" s="201"/>
      <c r="K447" s="201"/>
      <c r="L447" s="201"/>
      <c r="M447" s="201"/>
      <c r="N447" s="201"/>
      <c r="O447" s="201"/>
      <c r="P447" s="201"/>
      <c r="Q447" s="201"/>
      <c r="R447" s="1"/>
      <c r="S447" s="1"/>
    </row>
    <row r="448" spans="1:19" s="354" customFormat="1" ht="15.75" customHeight="1" x14ac:dyDescent="0.25">
      <c r="A448" s="106">
        <v>386</v>
      </c>
      <c r="B448" s="439" t="s">
        <v>93</v>
      </c>
      <c r="C448" s="440"/>
      <c r="D448" s="441"/>
      <c r="E448" s="106">
        <v>200</v>
      </c>
      <c r="F448" s="106">
        <v>5.6</v>
      </c>
      <c r="G448" s="106">
        <v>6.4</v>
      </c>
      <c r="H448" s="106">
        <v>7.6</v>
      </c>
      <c r="I448" s="106">
        <v>110</v>
      </c>
      <c r="J448" s="132">
        <v>0</v>
      </c>
      <c r="K448" s="106">
        <v>0.6</v>
      </c>
      <c r="L448" s="132">
        <v>0</v>
      </c>
      <c r="M448" s="106">
        <v>0</v>
      </c>
      <c r="N448" s="132">
        <v>248</v>
      </c>
      <c r="O448" s="106">
        <v>0</v>
      </c>
      <c r="P448" s="132">
        <v>28</v>
      </c>
      <c r="Q448" s="106">
        <v>0.2</v>
      </c>
      <c r="R448" s="29"/>
      <c r="S448" s="29"/>
    </row>
    <row r="449" spans="1:19" s="354" customFormat="1" ht="15.75" customHeight="1" x14ac:dyDescent="0.25">
      <c r="A449" s="122" t="s">
        <v>27</v>
      </c>
      <c r="B449" s="436" t="s">
        <v>221</v>
      </c>
      <c r="C449" s="440"/>
      <c r="D449" s="441"/>
      <c r="E449" s="211">
        <v>30</v>
      </c>
      <c r="F449" s="182">
        <f>1.25*E449/45</f>
        <v>0.83333333333333337</v>
      </c>
      <c r="G449" s="182">
        <f>1.48*E449/45</f>
        <v>0.98666666666666658</v>
      </c>
      <c r="H449" s="182">
        <f>34.89*E449/45</f>
        <v>23.26</v>
      </c>
      <c r="I449" s="182">
        <f>160.75*E449/45</f>
        <v>107.16666666666667</v>
      </c>
      <c r="J449" s="182">
        <v>0</v>
      </c>
      <c r="K449" s="182">
        <f>0.1*E449/45</f>
        <v>6.6666666666666666E-2</v>
      </c>
      <c r="L449" s="182">
        <v>0</v>
      </c>
      <c r="M449" s="182">
        <v>0</v>
      </c>
      <c r="N449" s="182">
        <f>6.8*E449/45</f>
        <v>4.5333333333333332</v>
      </c>
      <c r="O449" s="182">
        <v>0</v>
      </c>
      <c r="P449" s="182">
        <f>4.53*E449/45</f>
        <v>3.02</v>
      </c>
      <c r="Q449" s="182">
        <f>0.9*E449/45</f>
        <v>0.6</v>
      </c>
      <c r="R449" s="21"/>
      <c r="S449" s="21"/>
    </row>
    <row r="450" spans="1:19" s="354" customFormat="1" ht="15.75" customHeight="1" x14ac:dyDescent="0.25">
      <c r="A450" s="106"/>
      <c r="B450" s="442" t="s">
        <v>52</v>
      </c>
      <c r="C450" s="472"/>
      <c r="D450" s="473"/>
      <c r="E450" s="106">
        <f t="shared" ref="E450:Q450" si="82">SUM(E448:E449)</f>
        <v>230</v>
      </c>
      <c r="F450" s="117">
        <f t="shared" si="82"/>
        <v>6.4333333333333327</v>
      </c>
      <c r="G450" s="117">
        <f t="shared" si="82"/>
        <v>7.3866666666666667</v>
      </c>
      <c r="H450" s="117">
        <f t="shared" si="82"/>
        <v>30.86</v>
      </c>
      <c r="I450" s="117">
        <f t="shared" si="82"/>
        <v>217.16666666666669</v>
      </c>
      <c r="J450" s="117">
        <f t="shared" si="82"/>
        <v>0</v>
      </c>
      <c r="K450" s="117">
        <f t="shared" si="82"/>
        <v>0.66666666666666663</v>
      </c>
      <c r="L450" s="117">
        <f t="shared" si="82"/>
        <v>0</v>
      </c>
      <c r="M450" s="117">
        <f t="shared" si="82"/>
        <v>0</v>
      </c>
      <c r="N450" s="117">
        <f t="shared" si="82"/>
        <v>252.53333333333333</v>
      </c>
      <c r="O450" s="117">
        <f t="shared" si="82"/>
        <v>0</v>
      </c>
      <c r="P450" s="117">
        <f t="shared" si="82"/>
        <v>31.02</v>
      </c>
      <c r="Q450" s="117">
        <f t="shared" si="82"/>
        <v>0.8</v>
      </c>
      <c r="R450" s="17"/>
      <c r="S450" s="17"/>
    </row>
    <row r="451" spans="1:19" s="354" customFormat="1" ht="15.75" customHeight="1" x14ac:dyDescent="0.25">
      <c r="A451" s="106"/>
      <c r="B451" s="436" t="s">
        <v>53</v>
      </c>
      <c r="C451" s="437"/>
      <c r="D451" s="438"/>
      <c r="E451" s="212">
        <v>8</v>
      </c>
      <c r="F451" s="213"/>
      <c r="G451" s="213"/>
      <c r="H451" s="213"/>
      <c r="I451" s="213"/>
      <c r="J451" s="213"/>
      <c r="K451" s="213"/>
      <c r="L451" s="213"/>
      <c r="M451" s="213"/>
      <c r="N451" s="213">
        <v>29.44</v>
      </c>
      <c r="O451" s="213"/>
      <c r="P451" s="213">
        <v>1.76</v>
      </c>
      <c r="Q451" s="213">
        <v>0.23</v>
      </c>
      <c r="R451" s="221"/>
      <c r="S451" s="221"/>
    </row>
    <row r="452" spans="1:19" s="354" customFormat="1" ht="15.75" customHeight="1" x14ac:dyDescent="0.25">
      <c r="A452" s="117"/>
      <c r="B452" s="641" t="s">
        <v>235</v>
      </c>
      <c r="C452" s="472"/>
      <c r="D452" s="473"/>
      <c r="E452" s="32">
        <f t="shared" ref="E452:M452" si="83">SUM(E422,E424,E433,E437,E446,E450)</f>
        <v>3006.8753999999999</v>
      </c>
      <c r="F452" s="22">
        <f t="shared" si="83"/>
        <v>136.01036660392157</v>
      </c>
      <c r="G452" s="22">
        <f t="shared" si="83"/>
        <v>127.59546078431373</v>
      </c>
      <c r="H452" s="22">
        <f t="shared" si="83"/>
        <v>545.44026823529418</v>
      </c>
      <c r="I452" s="22">
        <f t="shared" si="83"/>
        <v>3829.8100197490198</v>
      </c>
      <c r="J452" s="22">
        <f t="shared" si="83"/>
        <v>0.08</v>
      </c>
      <c r="K452" s="22">
        <f t="shared" si="83"/>
        <v>135.86416901960783</v>
      </c>
      <c r="L452" s="22">
        <f t="shared" si="83"/>
        <v>0.13</v>
      </c>
      <c r="M452" s="22">
        <f t="shared" si="83"/>
        <v>1.4100000000000001</v>
      </c>
      <c r="N452" s="22">
        <f>SUM(N422,N424,N433,N437,N446,N450,N451)</f>
        <v>1427.4493605333334</v>
      </c>
      <c r="O452" s="42">
        <f>SUM(O422,O424,O433,O437,O446,O450)</f>
        <v>24.65</v>
      </c>
      <c r="P452" s="22">
        <f>SUM(P422,P424,P433,P437,P446,P450)</f>
        <v>546.92604235294118</v>
      </c>
      <c r="Q452" s="22">
        <f>SUM(Q422,Q424,Q433,Q437,Q446,Q450)</f>
        <v>39.737007058823529</v>
      </c>
      <c r="R452" s="23"/>
      <c r="S452" s="23"/>
    </row>
    <row r="453" spans="1:19" s="354" customFormat="1" ht="15.75" customHeight="1" x14ac:dyDescent="0.25">
      <c r="A453" s="322"/>
      <c r="B453" s="323"/>
      <c r="C453" s="353"/>
      <c r="D453" s="353"/>
      <c r="E453" s="324"/>
      <c r="F453" s="234"/>
      <c r="G453" s="234"/>
      <c r="H453" s="234"/>
      <c r="I453" s="234"/>
      <c r="J453" s="234"/>
      <c r="K453" s="234"/>
      <c r="L453" s="234"/>
      <c r="M453" s="234"/>
      <c r="N453" s="234"/>
      <c r="O453" s="325"/>
      <c r="P453" s="234"/>
      <c r="Q453" s="234"/>
      <c r="R453" s="326"/>
      <c r="S453" s="326"/>
    </row>
    <row r="454" spans="1:19" s="385" customFormat="1" ht="22.5" customHeight="1" x14ac:dyDescent="0.25">
      <c r="A454" s="777" t="s">
        <v>180</v>
      </c>
      <c r="B454" s="778"/>
      <c r="C454" s="778"/>
      <c r="D454" s="778"/>
      <c r="E454" s="778"/>
      <c r="F454" s="778"/>
      <c r="G454" s="778"/>
      <c r="H454" s="778"/>
      <c r="I454" s="778"/>
      <c r="J454" s="778"/>
      <c r="K454" s="778"/>
      <c r="L454" s="778"/>
      <c r="M454" s="778"/>
      <c r="N454" s="778"/>
      <c r="O454" s="778"/>
      <c r="P454" s="778"/>
      <c r="Q454" s="778"/>
      <c r="R454" s="779"/>
      <c r="S454" s="379"/>
    </row>
    <row r="455" spans="1:19" s="354" customFormat="1" ht="14.25" customHeight="1" x14ac:dyDescent="0.25">
      <c r="A455" s="634" t="s">
        <v>3</v>
      </c>
      <c r="B455" s="766" t="s">
        <v>4</v>
      </c>
      <c r="C455" s="767"/>
      <c r="D455" s="768"/>
      <c r="E455" s="529" t="s">
        <v>5</v>
      </c>
      <c r="F455" s="530" t="s">
        <v>6</v>
      </c>
      <c r="G455" s="440"/>
      <c r="H455" s="441"/>
      <c r="I455" s="529" t="s">
        <v>7</v>
      </c>
      <c r="J455" s="530" t="s">
        <v>8</v>
      </c>
      <c r="K455" s="440"/>
      <c r="L455" s="440"/>
      <c r="M455" s="441"/>
      <c r="N455" s="530" t="s">
        <v>9</v>
      </c>
      <c r="O455" s="440"/>
      <c r="P455" s="440"/>
      <c r="Q455" s="441"/>
      <c r="R455" s="1"/>
      <c r="S455" s="1"/>
    </row>
    <row r="456" spans="1:19" s="354" customFormat="1" ht="33.75" customHeight="1" x14ac:dyDescent="0.25">
      <c r="A456" s="480"/>
      <c r="B456" s="769"/>
      <c r="C456" s="770"/>
      <c r="D456" s="771"/>
      <c r="E456" s="527"/>
      <c r="F456" s="33" t="s">
        <v>10</v>
      </c>
      <c r="G456" s="33" t="s">
        <v>11</v>
      </c>
      <c r="H456" s="33" t="s">
        <v>12</v>
      </c>
      <c r="I456" s="527"/>
      <c r="J456" s="34" t="s">
        <v>13</v>
      </c>
      <c r="K456" s="34" t="s">
        <v>14</v>
      </c>
      <c r="L456" s="34" t="s">
        <v>15</v>
      </c>
      <c r="M456" s="345" t="s">
        <v>16</v>
      </c>
      <c r="N456" s="36" t="s">
        <v>17</v>
      </c>
      <c r="O456" s="34" t="s">
        <v>18</v>
      </c>
      <c r="P456" s="34" t="s">
        <v>19</v>
      </c>
      <c r="Q456" s="345" t="s">
        <v>20</v>
      </c>
      <c r="R456" s="1"/>
      <c r="S456" s="1"/>
    </row>
    <row r="457" spans="1:19" s="354" customFormat="1" ht="15.75" customHeight="1" x14ac:dyDescent="0.25">
      <c r="A457" s="220">
        <v>1</v>
      </c>
      <c r="B457" s="532">
        <v>2</v>
      </c>
      <c r="C457" s="440"/>
      <c r="D457" s="441"/>
      <c r="E457" s="57">
        <v>3</v>
      </c>
      <c r="F457" s="57">
        <v>4</v>
      </c>
      <c r="G457" s="57">
        <v>5</v>
      </c>
      <c r="H457" s="57">
        <v>6</v>
      </c>
      <c r="I457" s="58">
        <v>7</v>
      </c>
      <c r="J457" s="57">
        <v>8</v>
      </c>
      <c r="K457" s="57">
        <v>9</v>
      </c>
      <c r="L457" s="57">
        <v>10</v>
      </c>
      <c r="M457" s="59">
        <v>11</v>
      </c>
      <c r="N457" s="57">
        <v>12</v>
      </c>
      <c r="O457" s="57">
        <v>13</v>
      </c>
      <c r="P457" s="57">
        <v>14</v>
      </c>
      <c r="Q457" s="60">
        <v>15</v>
      </c>
      <c r="R457" s="1"/>
      <c r="S457" s="1"/>
    </row>
    <row r="458" spans="1:19" s="354" customFormat="1" ht="16.5" customHeight="1" x14ac:dyDescent="0.25">
      <c r="A458" s="224"/>
      <c r="B458" s="702" t="s">
        <v>21</v>
      </c>
      <c r="C458" s="446"/>
      <c r="D458" s="447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"/>
      <c r="S458" s="1"/>
    </row>
    <row r="459" spans="1:19" s="354" customFormat="1" ht="19.5" customHeight="1" x14ac:dyDescent="0.25">
      <c r="A459" s="115">
        <v>3</v>
      </c>
      <c r="B459" s="439" t="s">
        <v>56</v>
      </c>
      <c r="C459" s="440"/>
      <c r="D459" s="441"/>
      <c r="E459" s="128" t="s">
        <v>23</v>
      </c>
      <c r="F459" s="129">
        <v>5.8</v>
      </c>
      <c r="G459" s="129">
        <v>8.3000000000000007</v>
      </c>
      <c r="H459" s="129">
        <v>14.83</v>
      </c>
      <c r="I459" s="129">
        <v>157</v>
      </c>
      <c r="J459" s="129">
        <v>0.04</v>
      </c>
      <c r="K459" s="129">
        <v>0.04</v>
      </c>
      <c r="L459" s="129">
        <v>0.03</v>
      </c>
      <c r="M459" s="129">
        <v>0.11</v>
      </c>
      <c r="N459" s="129">
        <v>139.19999999999999</v>
      </c>
      <c r="O459" s="129">
        <v>9.4499999999999993</v>
      </c>
      <c r="P459" s="129">
        <v>96</v>
      </c>
      <c r="Q459" s="129">
        <v>0.49</v>
      </c>
      <c r="R459" s="29"/>
      <c r="S459" s="29"/>
    </row>
    <row r="460" spans="1:19" s="354" customFormat="1" ht="19.5" customHeight="1" x14ac:dyDescent="0.25">
      <c r="A460" s="348">
        <v>50</v>
      </c>
      <c r="B460" s="555" t="s">
        <v>96</v>
      </c>
      <c r="C460" s="440"/>
      <c r="D460" s="441"/>
      <c r="E460" s="348">
        <v>100</v>
      </c>
      <c r="F460" s="159">
        <v>1.6</v>
      </c>
      <c r="G460" s="159">
        <v>3.16</v>
      </c>
      <c r="H460" s="159">
        <v>8.15</v>
      </c>
      <c r="I460" s="159">
        <f>116.8*E460/100</f>
        <v>116.8</v>
      </c>
      <c r="J460" s="159">
        <f>0*E460/100</f>
        <v>0</v>
      </c>
      <c r="K460" s="159">
        <v>0.05</v>
      </c>
      <c r="L460" s="159">
        <f>0*E460/100</f>
        <v>0</v>
      </c>
      <c r="M460" s="159">
        <f>0*E460/100</f>
        <v>0</v>
      </c>
      <c r="N460" s="159">
        <v>12.72</v>
      </c>
      <c r="O460" s="159">
        <v>32.048999999999999</v>
      </c>
      <c r="P460" s="159">
        <v>14.02</v>
      </c>
      <c r="Q460" s="159">
        <v>0.71</v>
      </c>
      <c r="R460" s="17"/>
      <c r="S460" s="17"/>
    </row>
    <row r="461" spans="1:19" s="354" customFormat="1" ht="12" customHeight="1" x14ac:dyDescent="0.25">
      <c r="A461" s="533">
        <v>204</v>
      </c>
      <c r="B461" s="554" t="s">
        <v>97</v>
      </c>
      <c r="C461" s="476"/>
      <c r="D461" s="477"/>
      <c r="E461" s="158">
        <v>250</v>
      </c>
      <c r="F461" s="533">
        <f>13.54*E461/200</f>
        <v>16.925000000000001</v>
      </c>
      <c r="G461" s="533">
        <f>15.3*E461/200</f>
        <v>19.125</v>
      </c>
      <c r="H461" s="533">
        <f>34.11*E461/200</f>
        <v>42.637500000000003</v>
      </c>
      <c r="I461" s="533">
        <f>328.3*E461/200</f>
        <v>410.375</v>
      </c>
      <c r="J461" s="533">
        <f>0*E461/200</f>
        <v>0</v>
      </c>
      <c r="K461" s="533">
        <f>0.22*E461/200</f>
        <v>0.27500000000000002</v>
      </c>
      <c r="L461" s="533">
        <f>0*E461/200</f>
        <v>0</v>
      </c>
      <c r="M461" s="533">
        <f>0*E461/200</f>
        <v>0</v>
      </c>
      <c r="N461" s="533">
        <f>295.2*E461/200</f>
        <v>369</v>
      </c>
      <c r="O461" s="533">
        <f>0*E461/200</f>
        <v>0</v>
      </c>
      <c r="P461" s="533">
        <f>20.32*E461/200</f>
        <v>25.4</v>
      </c>
      <c r="Q461" s="533">
        <f>1.23*E461/200</f>
        <v>1.5375000000000001</v>
      </c>
      <c r="R461" s="17"/>
      <c r="S461" s="17"/>
    </row>
    <row r="462" spans="1:19" s="354" customFormat="1" ht="11.25" customHeight="1" x14ac:dyDescent="0.25">
      <c r="A462" s="471"/>
      <c r="B462" s="478"/>
      <c r="C462" s="479"/>
      <c r="D462" s="480"/>
      <c r="E462" s="349">
        <f>E461*16/100</f>
        <v>40</v>
      </c>
      <c r="F462" s="471"/>
      <c r="G462" s="471"/>
      <c r="H462" s="471"/>
      <c r="I462" s="471"/>
      <c r="J462" s="471"/>
      <c r="K462" s="471"/>
      <c r="L462" s="471"/>
      <c r="M462" s="471"/>
      <c r="N462" s="471"/>
      <c r="O462" s="471"/>
      <c r="P462" s="471"/>
      <c r="Q462" s="471"/>
      <c r="R462" s="29"/>
      <c r="S462" s="29"/>
    </row>
    <row r="463" spans="1:19" s="354" customFormat="1" ht="15.75" customHeight="1" x14ac:dyDescent="0.25">
      <c r="A463" s="106" t="s">
        <v>27</v>
      </c>
      <c r="B463" s="439" t="s">
        <v>28</v>
      </c>
      <c r="C463" s="440"/>
      <c r="D463" s="441"/>
      <c r="E463" s="99">
        <v>45</v>
      </c>
      <c r="F463" s="117">
        <f>2.26*E463/30</f>
        <v>3.3899999999999997</v>
      </c>
      <c r="G463" s="117">
        <f>0.23*E463/30</f>
        <v>0.34499999999999997</v>
      </c>
      <c r="H463" s="117">
        <f>14.66*E463/30</f>
        <v>21.990000000000002</v>
      </c>
      <c r="I463" s="117">
        <f>68.86*E463/30</f>
        <v>103.28999999999999</v>
      </c>
      <c r="J463" s="117">
        <v>0</v>
      </c>
      <c r="K463" s="117">
        <v>0</v>
      </c>
      <c r="L463" s="117">
        <v>0</v>
      </c>
      <c r="M463" s="117">
        <v>0</v>
      </c>
      <c r="N463" s="117">
        <f>12.97*E463/30</f>
        <v>19.454999999999998</v>
      </c>
      <c r="O463" s="117">
        <v>0</v>
      </c>
      <c r="P463" s="117">
        <f>2.83*E463/30</f>
        <v>4.2450000000000001</v>
      </c>
      <c r="Q463" s="117">
        <f>0.74*E463/30</f>
        <v>1.1099999999999999</v>
      </c>
      <c r="R463" s="29"/>
      <c r="S463" s="29"/>
    </row>
    <row r="464" spans="1:19" s="354" customFormat="1" ht="15.75" customHeight="1" x14ac:dyDescent="0.25">
      <c r="A464" s="115">
        <v>382</v>
      </c>
      <c r="B464" s="555" t="s">
        <v>58</v>
      </c>
      <c r="C464" s="440"/>
      <c r="D464" s="441"/>
      <c r="E464" s="349">
        <v>200</v>
      </c>
      <c r="F464" s="349">
        <v>3.08</v>
      </c>
      <c r="G464" s="349">
        <v>2.5</v>
      </c>
      <c r="H464" s="349">
        <v>22.54</v>
      </c>
      <c r="I464" s="349">
        <v>125</v>
      </c>
      <c r="J464" s="349">
        <v>3.2000000000000001E-2</v>
      </c>
      <c r="K464" s="349">
        <v>1</v>
      </c>
      <c r="L464" s="349">
        <v>0.02</v>
      </c>
      <c r="M464" s="349">
        <v>0.09</v>
      </c>
      <c r="N464" s="349">
        <v>121.76</v>
      </c>
      <c r="O464" s="349">
        <v>106.42</v>
      </c>
      <c r="P464" s="349">
        <v>15.8</v>
      </c>
      <c r="Q464" s="349">
        <v>0.39</v>
      </c>
      <c r="R464" s="29"/>
      <c r="S464" s="29"/>
    </row>
    <row r="465" spans="1:19" s="354" customFormat="1" ht="16.5" customHeight="1" x14ac:dyDescent="0.25">
      <c r="A465" s="102"/>
      <c r="B465" s="713" t="s">
        <v>29</v>
      </c>
      <c r="C465" s="472"/>
      <c r="D465" s="473"/>
      <c r="E465" s="216">
        <f t="shared" ref="E465:Q465" si="84">SUM(E459:E464)</f>
        <v>635</v>
      </c>
      <c r="F465" s="196">
        <f t="shared" si="84"/>
        <v>30.795000000000002</v>
      </c>
      <c r="G465" s="196">
        <f t="shared" si="84"/>
        <v>33.43</v>
      </c>
      <c r="H465" s="196">
        <f t="shared" si="84"/>
        <v>110.14750000000001</v>
      </c>
      <c r="I465" s="196">
        <f t="shared" si="84"/>
        <v>912.46499999999992</v>
      </c>
      <c r="J465" s="196">
        <f t="shared" si="84"/>
        <v>7.2000000000000008E-2</v>
      </c>
      <c r="K465" s="196">
        <f t="shared" si="84"/>
        <v>1.365</v>
      </c>
      <c r="L465" s="196">
        <f t="shared" si="84"/>
        <v>0.05</v>
      </c>
      <c r="M465" s="196">
        <f t="shared" si="84"/>
        <v>0.2</v>
      </c>
      <c r="N465" s="196">
        <f t="shared" si="84"/>
        <v>662.13499999999999</v>
      </c>
      <c r="O465" s="196">
        <f t="shared" si="84"/>
        <v>147.91899999999998</v>
      </c>
      <c r="P465" s="196">
        <f t="shared" si="84"/>
        <v>155.465</v>
      </c>
      <c r="Q465" s="196">
        <f t="shared" si="84"/>
        <v>4.2374999999999998</v>
      </c>
      <c r="R465" s="17"/>
      <c r="S465" s="17"/>
    </row>
    <row r="466" spans="1:19" s="354" customFormat="1" ht="15.75" customHeight="1" x14ac:dyDescent="0.25">
      <c r="A466" s="201"/>
      <c r="B466" s="522" t="s">
        <v>30</v>
      </c>
      <c r="C466" s="446"/>
      <c r="D466" s="447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"/>
      <c r="S466" s="1"/>
    </row>
    <row r="467" spans="1:19" s="354" customFormat="1" ht="15.75" customHeight="1" x14ac:dyDescent="0.25">
      <c r="A467" s="106">
        <v>338</v>
      </c>
      <c r="B467" s="439" t="s">
        <v>31</v>
      </c>
      <c r="C467" s="440"/>
      <c r="D467" s="441"/>
      <c r="E467" s="133">
        <v>300</v>
      </c>
      <c r="F467" s="133">
        <v>1.2</v>
      </c>
      <c r="G467" s="134">
        <v>1.2</v>
      </c>
      <c r="H467" s="133">
        <v>29.4</v>
      </c>
      <c r="I467" s="133">
        <v>132</v>
      </c>
      <c r="J467" s="133">
        <v>0</v>
      </c>
      <c r="K467" s="133">
        <v>30</v>
      </c>
      <c r="L467" s="133">
        <v>0</v>
      </c>
      <c r="M467" s="133">
        <v>0</v>
      </c>
      <c r="N467" s="133">
        <v>48</v>
      </c>
      <c r="O467" s="133">
        <v>0</v>
      </c>
      <c r="P467" s="133">
        <v>27</v>
      </c>
      <c r="Q467" s="133">
        <v>6.6</v>
      </c>
      <c r="R467" s="29"/>
      <c r="S467" s="29"/>
    </row>
    <row r="468" spans="1:19" s="354" customFormat="1" ht="15.75" customHeight="1" x14ac:dyDescent="0.25">
      <c r="A468" s="106"/>
      <c r="B468" s="442" t="s">
        <v>32</v>
      </c>
      <c r="C468" s="472"/>
      <c r="D468" s="473"/>
      <c r="E468" s="106">
        <f t="shared" ref="E468:N468" si="85">E467</f>
        <v>300</v>
      </c>
      <c r="F468" s="106">
        <f t="shared" si="85"/>
        <v>1.2</v>
      </c>
      <c r="G468" s="132">
        <f t="shared" si="85"/>
        <v>1.2</v>
      </c>
      <c r="H468" s="106">
        <f t="shared" si="85"/>
        <v>29.4</v>
      </c>
      <c r="I468" s="106">
        <f t="shared" si="85"/>
        <v>132</v>
      </c>
      <c r="J468" s="106">
        <f t="shared" si="85"/>
        <v>0</v>
      </c>
      <c r="K468" s="106">
        <f t="shared" si="85"/>
        <v>30</v>
      </c>
      <c r="L468" s="106">
        <f t="shared" si="85"/>
        <v>0</v>
      </c>
      <c r="M468" s="106">
        <f t="shared" si="85"/>
        <v>0</v>
      </c>
      <c r="N468" s="106">
        <f t="shared" si="85"/>
        <v>48</v>
      </c>
      <c r="O468" s="106">
        <f>SUM(O467)</f>
        <v>0</v>
      </c>
      <c r="P468" s="106">
        <f t="shared" ref="P468:Q468" si="86">P467</f>
        <v>27</v>
      </c>
      <c r="Q468" s="106">
        <f t="shared" si="86"/>
        <v>6.6</v>
      </c>
      <c r="R468" s="17"/>
      <c r="S468" s="17"/>
    </row>
    <row r="469" spans="1:19" s="354" customFormat="1" ht="15.75" customHeight="1" x14ac:dyDescent="0.25">
      <c r="A469" s="201"/>
      <c r="B469" s="522" t="s">
        <v>33</v>
      </c>
      <c r="C469" s="446"/>
      <c r="D469" s="447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"/>
      <c r="S469" s="1"/>
    </row>
    <row r="470" spans="1:19" s="354" customFormat="1" ht="15.75" customHeight="1" x14ac:dyDescent="0.25">
      <c r="A470" s="106">
        <v>75</v>
      </c>
      <c r="B470" s="540" t="s">
        <v>98</v>
      </c>
      <c r="C470" s="440"/>
      <c r="D470" s="441"/>
      <c r="E470" s="100">
        <v>100</v>
      </c>
      <c r="F470" s="117">
        <v>2.1</v>
      </c>
      <c r="G470" s="117">
        <v>6.8</v>
      </c>
      <c r="H470" s="117">
        <v>13.8</v>
      </c>
      <c r="I470" s="117">
        <v>125</v>
      </c>
      <c r="J470" s="117">
        <f>0*E470/100</f>
        <v>0</v>
      </c>
      <c r="K470" s="117">
        <v>5.12</v>
      </c>
      <c r="L470" s="117">
        <v>0</v>
      </c>
      <c r="M470" s="117">
        <v>0</v>
      </c>
      <c r="N470" s="117">
        <v>30.64</v>
      </c>
      <c r="O470" s="117">
        <v>0</v>
      </c>
      <c r="P470" s="117">
        <v>41.28</v>
      </c>
      <c r="Q470" s="117">
        <v>1.22</v>
      </c>
      <c r="R470" s="17"/>
      <c r="S470" s="17"/>
    </row>
    <row r="471" spans="1:19" s="354" customFormat="1" ht="11.25" customHeight="1" x14ac:dyDescent="0.25">
      <c r="A471" s="546">
        <v>104</v>
      </c>
      <c r="B471" s="542" t="s">
        <v>99</v>
      </c>
      <c r="C471" s="476"/>
      <c r="D471" s="477"/>
      <c r="E471" s="95">
        <v>250</v>
      </c>
      <c r="F471" s="572">
        <f>9.36*(E471+E472)/(250+42)</f>
        <v>9.36</v>
      </c>
      <c r="G471" s="572">
        <f>7.04*(E471+E472)/(250+42)</f>
        <v>7.0399999999999991</v>
      </c>
      <c r="H471" s="572">
        <f>16.02*(E471+E472)/(250+42)</f>
        <v>16.02</v>
      </c>
      <c r="I471" s="572">
        <f>178.92*(E471+E472)/(250+42)</f>
        <v>178.92</v>
      </c>
      <c r="J471" s="572" t="s">
        <v>35</v>
      </c>
      <c r="K471" s="572">
        <f>11.44*(E471+E472)/(250+42)</f>
        <v>11.44</v>
      </c>
      <c r="L471" s="572">
        <f>0*(E471+E472)/(250+42)</f>
        <v>0</v>
      </c>
      <c r="M471" s="572">
        <f>0*(E471+E472)/(250+42)</f>
        <v>0</v>
      </c>
      <c r="N471" s="572">
        <f>38.1*(E471+E472)/(250+42)</f>
        <v>38.1</v>
      </c>
      <c r="O471" s="572">
        <f>0*(E471+E472)/(250+42)</f>
        <v>0</v>
      </c>
      <c r="P471" s="572">
        <f>41.93*(E471+E472)/(250+42)</f>
        <v>41.93</v>
      </c>
      <c r="Q471" s="572">
        <f>1.73*(E471+E472)/(250+42)</f>
        <v>1.73</v>
      </c>
      <c r="R471" s="17"/>
      <c r="S471" s="17"/>
    </row>
    <row r="472" spans="1:19" s="354" customFormat="1" ht="12.75" customHeight="1" x14ac:dyDescent="0.25">
      <c r="A472" s="471"/>
      <c r="B472" s="478"/>
      <c r="C472" s="479"/>
      <c r="D472" s="480"/>
      <c r="E472" s="95">
        <f>E471*16.8/100</f>
        <v>42</v>
      </c>
      <c r="F472" s="471"/>
      <c r="G472" s="471"/>
      <c r="H472" s="471"/>
      <c r="I472" s="471"/>
      <c r="J472" s="471"/>
      <c r="K472" s="471"/>
      <c r="L472" s="471"/>
      <c r="M472" s="471"/>
      <c r="N472" s="471"/>
      <c r="O472" s="471"/>
      <c r="P472" s="471"/>
      <c r="Q472" s="471"/>
      <c r="R472" s="39"/>
      <c r="S472" s="39"/>
    </row>
    <row r="473" spans="1:19" s="354" customFormat="1" ht="11.25" customHeight="1" x14ac:dyDescent="0.25">
      <c r="A473" s="533">
        <v>229</v>
      </c>
      <c r="B473" s="542" t="s">
        <v>100</v>
      </c>
      <c r="C473" s="476"/>
      <c r="D473" s="477"/>
      <c r="E473" s="95">
        <v>120</v>
      </c>
      <c r="F473" s="572">
        <v>20.16</v>
      </c>
      <c r="G473" s="572">
        <v>9.9</v>
      </c>
      <c r="H473" s="572">
        <v>7.6</v>
      </c>
      <c r="I473" s="572">
        <v>210</v>
      </c>
      <c r="J473" s="572">
        <f>0*(E473+E474)/(120+100)</f>
        <v>0</v>
      </c>
      <c r="K473" s="572">
        <v>20</v>
      </c>
      <c r="L473" s="572">
        <v>0.1</v>
      </c>
      <c r="M473" s="572">
        <v>7.46</v>
      </c>
      <c r="N473" s="572">
        <v>78.14</v>
      </c>
      <c r="O473" s="572">
        <f>0*(E473+E474)/(120+100)</f>
        <v>0</v>
      </c>
      <c r="P473" s="572">
        <v>97.06</v>
      </c>
      <c r="Q473" s="572">
        <v>1.7</v>
      </c>
      <c r="R473" s="18"/>
      <c r="S473" s="18"/>
    </row>
    <row r="474" spans="1:19" s="354" customFormat="1" ht="15.75" customHeight="1" x14ac:dyDescent="0.25">
      <c r="A474" s="471"/>
      <c r="B474" s="478"/>
      <c r="C474" s="479"/>
      <c r="D474" s="480"/>
      <c r="E474" s="208">
        <f>E473*83.335/100</f>
        <v>100.002</v>
      </c>
      <c r="F474" s="471"/>
      <c r="G474" s="471"/>
      <c r="H474" s="471"/>
      <c r="I474" s="471"/>
      <c r="J474" s="471"/>
      <c r="K474" s="471"/>
      <c r="L474" s="471"/>
      <c r="M474" s="471"/>
      <c r="N474" s="471"/>
      <c r="O474" s="471"/>
      <c r="P474" s="471"/>
      <c r="Q474" s="471"/>
      <c r="R474" s="29"/>
      <c r="S474" s="29"/>
    </row>
    <row r="475" spans="1:19" s="354" customFormat="1" ht="15.75" customHeight="1" x14ac:dyDescent="0.25">
      <c r="A475" s="223">
        <v>310</v>
      </c>
      <c r="B475" s="439" t="s">
        <v>91</v>
      </c>
      <c r="C475" s="440"/>
      <c r="D475" s="441"/>
      <c r="E475" s="208">
        <v>220</v>
      </c>
      <c r="F475" s="209">
        <v>3.9</v>
      </c>
      <c r="G475" s="209">
        <v>10.45</v>
      </c>
      <c r="H475" s="209">
        <v>30.68</v>
      </c>
      <c r="I475" s="209">
        <v>231</v>
      </c>
      <c r="J475" s="205">
        <v>0.03</v>
      </c>
      <c r="K475" s="205">
        <v>0.22</v>
      </c>
      <c r="L475" s="205">
        <v>4.53</v>
      </c>
      <c r="M475" s="205">
        <v>28</v>
      </c>
      <c r="N475" s="205">
        <v>19.52</v>
      </c>
      <c r="O475" s="205">
        <v>39.1</v>
      </c>
      <c r="P475" s="205">
        <v>40.049999999999997</v>
      </c>
      <c r="Q475" s="205">
        <v>4.53</v>
      </c>
      <c r="R475" s="17"/>
      <c r="S475" s="17"/>
    </row>
    <row r="476" spans="1:19" s="354" customFormat="1" ht="15.75" customHeight="1" x14ac:dyDescent="0.25">
      <c r="A476" s="106">
        <v>389</v>
      </c>
      <c r="B476" s="439" t="s">
        <v>71</v>
      </c>
      <c r="C476" s="440"/>
      <c r="D476" s="441"/>
      <c r="E476" s="95">
        <v>200</v>
      </c>
      <c r="F476" s="129">
        <v>1</v>
      </c>
      <c r="G476" s="129">
        <v>0</v>
      </c>
      <c r="H476" s="129">
        <v>20.2</v>
      </c>
      <c r="I476" s="129">
        <v>84.8</v>
      </c>
      <c r="J476" s="129">
        <v>0</v>
      </c>
      <c r="K476" s="129">
        <v>4</v>
      </c>
      <c r="L476" s="129">
        <v>0</v>
      </c>
      <c r="M476" s="129">
        <v>0</v>
      </c>
      <c r="N476" s="129">
        <v>14</v>
      </c>
      <c r="O476" s="129">
        <v>0</v>
      </c>
      <c r="P476" s="129">
        <v>8</v>
      </c>
      <c r="Q476" s="129">
        <v>2.8</v>
      </c>
      <c r="R476" s="29"/>
      <c r="S476" s="29"/>
    </row>
    <row r="477" spans="1:19" s="354" customFormat="1" ht="15.75" customHeight="1" x14ac:dyDescent="0.25">
      <c r="A477" s="106" t="s">
        <v>27</v>
      </c>
      <c r="B477" s="467" t="s">
        <v>39</v>
      </c>
      <c r="C477" s="468"/>
      <c r="D477" s="469"/>
      <c r="E477" s="99">
        <v>120</v>
      </c>
      <c r="F477" s="117">
        <v>6.8</v>
      </c>
      <c r="G477" s="117">
        <v>1.28</v>
      </c>
      <c r="H477" s="117">
        <v>29.6</v>
      </c>
      <c r="I477" s="117">
        <v>157</v>
      </c>
      <c r="J477" s="117">
        <v>0</v>
      </c>
      <c r="K477" s="117">
        <v>0</v>
      </c>
      <c r="L477" s="117">
        <v>0.22</v>
      </c>
      <c r="M477" s="117">
        <v>0</v>
      </c>
      <c r="N477" s="117">
        <v>34.4</v>
      </c>
      <c r="O477" s="117">
        <v>0</v>
      </c>
      <c r="P477" s="117">
        <v>61.6</v>
      </c>
      <c r="Q477" s="117">
        <v>4</v>
      </c>
      <c r="R477" s="17"/>
      <c r="S477" s="17"/>
    </row>
    <row r="478" spans="1:19" s="354" customFormat="1" ht="15.75" customHeight="1" x14ac:dyDescent="0.25">
      <c r="A478" s="106" t="s">
        <v>27</v>
      </c>
      <c r="B478" s="439" t="s">
        <v>28</v>
      </c>
      <c r="C478" s="440"/>
      <c r="D478" s="441"/>
      <c r="E478" s="99">
        <v>45</v>
      </c>
      <c r="F478" s="117">
        <v>3.94</v>
      </c>
      <c r="G478" s="117">
        <v>0.57999999999999996</v>
      </c>
      <c r="H478" s="117">
        <v>22</v>
      </c>
      <c r="I478" s="117">
        <v>108.98</v>
      </c>
      <c r="J478" s="117">
        <v>6.6000000000000003E-2</v>
      </c>
      <c r="K478" s="117">
        <v>0</v>
      </c>
      <c r="L478" s="117">
        <v>0</v>
      </c>
      <c r="M478" s="117">
        <v>1.32</v>
      </c>
      <c r="N478" s="117">
        <v>22.2</v>
      </c>
      <c r="O478" s="117">
        <v>106.8</v>
      </c>
      <c r="P478" s="117">
        <v>33</v>
      </c>
      <c r="Q478" s="117">
        <v>1.62</v>
      </c>
      <c r="R478" s="17"/>
      <c r="S478" s="17"/>
    </row>
    <row r="479" spans="1:19" s="354" customFormat="1" ht="15.75" customHeight="1" x14ac:dyDescent="0.25">
      <c r="A479" s="106"/>
      <c r="B479" s="442" t="s">
        <v>65</v>
      </c>
      <c r="C479" s="472"/>
      <c r="D479" s="473"/>
      <c r="E479" s="100">
        <f t="shared" ref="E479:Q479" si="87">SUM(E470:E478)</f>
        <v>1197.002</v>
      </c>
      <c r="F479" s="117">
        <f t="shared" si="87"/>
        <v>47.259999999999991</v>
      </c>
      <c r="G479" s="117">
        <f t="shared" si="87"/>
        <v>36.049999999999997</v>
      </c>
      <c r="H479" s="117">
        <f t="shared" si="87"/>
        <v>139.9</v>
      </c>
      <c r="I479" s="117">
        <f t="shared" si="87"/>
        <v>1095.6999999999998</v>
      </c>
      <c r="J479" s="117">
        <f t="shared" si="87"/>
        <v>9.6000000000000002E-2</v>
      </c>
      <c r="K479" s="117">
        <f t="shared" si="87"/>
        <v>40.78</v>
      </c>
      <c r="L479" s="117">
        <f t="shared" si="87"/>
        <v>4.8499999999999996</v>
      </c>
      <c r="M479" s="117">
        <f t="shared" si="87"/>
        <v>36.78</v>
      </c>
      <c r="N479" s="117">
        <f t="shared" si="87"/>
        <v>237</v>
      </c>
      <c r="O479" s="117">
        <f t="shared" si="87"/>
        <v>145.9</v>
      </c>
      <c r="P479" s="117">
        <f t="shared" si="87"/>
        <v>322.92</v>
      </c>
      <c r="Q479" s="117">
        <f t="shared" si="87"/>
        <v>17.600000000000001</v>
      </c>
      <c r="R479" s="17"/>
      <c r="S479" s="17"/>
    </row>
    <row r="480" spans="1:19" s="354" customFormat="1" ht="15.75" customHeight="1" x14ac:dyDescent="0.25">
      <c r="A480" s="201"/>
      <c r="B480" s="445" t="s">
        <v>41</v>
      </c>
      <c r="C480" s="446"/>
      <c r="D480" s="447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"/>
      <c r="S480" s="1"/>
    </row>
    <row r="481" spans="1:19" s="354" customFormat="1" ht="14.25" customHeight="1" x14ac:dyDescent="0.25">
      <c r="A481" s="106" t="s">
        <v>84</v>
      </c>
      <c r="B481" s="703" t="s">
        <v>101</v>
      </c>
      <c r="C481" s="704"/>
      <c r="D481" s="564"/>
      <c r="E481" s="102">
        <v>150</v>
      </c>
      <c r="F481" s="102">
        <v>10.244999999999999</v>
      </c>
      <c r="G481" s="102">
        <v>7.9950000000000001</v>
      </c>
      <c r="H481" s="102">
        <v>58.95</v>
      </c>
      <c r="I481" s="102">
        <v>351</v>
      </c>
      <c r="J481" s="102">
        <v>0</v>
      </c>
      <c r="K481" s="106">
        <v>1.2749999999999999</v>
      </c>
      <c r="L481" s="102">
        <v>0</v>
      </c>
      <c r="M481" s="102">
        <v>0</v>
      </c>
      <c r="N481" s="102">
        <v>34.244999999999997</v>
      </c>
      <c r="O481" s="102">
        <v>0</v>
      </c>
      <c r="P481" s="102">
        <v>42</v>
      </c>
      <c r="Q481" s="102">
        <v>2.0249999999999999</v>
      </c>
      <c r="R481" s="29"/>
      <c r="S481" s="29"/>
    </row>
    <row r="482" spans="1:19" s="354" customFormat="1" ht="14.25" customHeight="1" x14ac:dyDescent="0.25">
      <c r="A482" s="106">
        <v>379</v>
      </c>
      <c r="B482" s="774" t="s">
        <v>102</v>
      </c>
      <c r="C482" s="775"/>
      <c r="D482" s="776"/>
      <c r="E482" s="115">
        <v>200</v>
      </c>
      <c r="F482" s="115">
        <v>3.58</v>
      </c>
      <c r="G482" s="115">
        <v>2.68</v>
      </c>
      <c r="H482" s="115">
        <v>28.34</v>
      </c>
      <c r="I482" s="115">
        <v>151.80000000000001</v>
      </c>
      <c r="J482" s="115">
        <v>0.02</v>
      </c>
      <c r="K482" s="115">
        <v>1.3</v>
      </c>
      <c r="L482" s="115">
        <v>0</v>
      </c>
      <c r="M482" s="115">
        <v>0</v>
      </c>
      <c r="N482" s="115">
        <v>125.78</v>
      </c>
      <c r="O482" s="115">
        <v>14</v>
      </c>
      <c r="P482" s="115">
        <v>14</v>
      </c>
      <c r="Q482" s="115">
        <v>0.13</v>
      </c>
      <c r="R482" s="29"/>
      <c r="S482" s="29"/>
    </row>
    <row r="483" spans="1:19" s="354" customFormat="1" ht="14.25" customHeight="1" x14ac:dyDescent="0.25">
      <c r="A483" s="106"/>
      <c r="B483" s="442" t="s">
        <v>67</v>
      </c>
      <c r="C483" s="472"/>
      <c r="D483" s="473"/>
      <c r="E483" s="106">
        <f t="shared" ref="E483:Q483" si="88">SUM(E481:E482)</f>
        <v>350</v>
      </c>
      <c r="F483" s="106">
        <f t="shared" si="88"/>
        <v>13.824999999999999</v>
      </c>
      <c r="G483" s="106">
        <f t="shared" si="88"/>
        <v>10.675000000000001</v>
      </c>
      <c r="H483" s="106">
        <f t="shared" si="88"/>
        <v>87.29</v>
      </c>
      <c r="I483" s="106">
        <f t="shared" si="88"/>
        <v>502.8</v>
      </c>
      <c r="J483" s="106">
        <f t="shared" si="88"/>
        <v>0.02</v>
      </c>
      <c r="K483" s="132">
        <f t="shared" si="88"/>
        <v>2.5750000000000002</v>
      </c>
      <c r="L483" s="106">
        <f t="shared" si="88"/>
        <v>0</v>
      </c>
      <c r="M483" s="106">
        <f t="shared" si="88"/>
        <v>0</v>
      </c>
      <c r="N483" s="106">
        <f t="shared" si="88"/>
        <v>160.02500000000001</v>
      </c>
      <c r="O483" s="106">
        <f t="shared" si="88"/>
        <v>14</v>
      </c>
      <c r="P483" s="106">
        <f t="shared" si="88"/>
        <v>56</v>
      </c>
      <c r="Q483" s="106">
        <f t="shared" si="88"/>
        <v>2.1549999999999998</v>
      </c>
      <c r="R483" s="17"/>
      <c r="S483" s="17"/>
    </row>
    <row r="484" spans="1:19" s="354" customFormat="1" ht="15.75" customHeight="1" x14ac:dyDescent="0.25">
      <c r="A484" s="201"/>
      <c r="B484" s="474" t="s">
        <v>44</v>
      </c>
      <c r="C484" s="446"/>
      <c r="D484" s="447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"/>
      <c r="S484" s="1"/>
    </row>
    <row r="485" spans="1:19" s="354" customFormat="1" ht="15.75" customHeight="1" x14ac:dyDescent="0.25">
      <c r="A485" s="348">
        <v>55</v>
      </c>
      <c r="B485" s="506" t="s">
        <v>233</v>
      </c>
      <c r="C485" s="563"/>
      <c r="D485" s="564"/>
      <c r="E485" s="276">
        <v>100</v>
      </c>
      <c r="F485" s="149">
        <f>2*E485/100</f>
        <v>2</v>
      </c>
      <c r="G485" s="149">
        <f>6*E485/100</f>
        <v>6</v>
      </c>
      <c r="H485" s="149">
        <f>7.7*E485/100</f>
        <v>7.7</v>
      </c>
      <c r="I485" s="149">
        <f>93*E485/100</f>
        <v>93</v>
      </c>
      <c r="J485" s="346"/>
      <c r="K485" s="346">
        <f>8.5*E485/100</f>
        <v>8.5</v>
      </c>
      <c r="L485" s="346">
        <f>0*E485/100</f>
        <v>0</v>
      </c>
      <c r="M485" s="149">
        <f>0*E485/100</f>
        <v>0</v>
      </c>
      <c r="N485" s="149">
        <f>30.35*E485/100</f>
        <v>30.35</v>
      </c>
      <c r="O485" s="149">
        <f>0*E485/100</f>
        <v>0</v>
      </c>
      <c r="P485" s="346">
        <f>18.8*E485/100</f>
        <v>18.8</v>
      </c>
      <c r="Q485" s="149">
        <f>1.07*E485/100</f>
        <v>1.07</v>
      </c>
      <c r="R485" s="29"/>
      <c r="S485" s="29"/>
    </row>
    <row r="486" spans="1:19" s="354" customFormat="1" ht="12" customHeight="1" x14ac:dyDescent="0.25">
      <c r="A486" s="627">
        <v>250</v>
      </c>
      <c r="B486" s="707" t="s">
        <v>104</v>
      </c>
      <c r="C486" s="476"/>
      <c r="D486" s="477"/>
      <c r="E486" s="217">
        <v>120</v>
      </c>
      <c r="F486" s="706">
        <f>29.02*E486/120</f>
        <v>29.02</v>
      </c>
      <c r="G486" s="706">
        <f>21.86*E486/120</f>
        <v>21.86</v>
      </c>
      <c r="H486" s="706">
        <f>6.58*E486/120</f>
        <v>6.58</v>
      </c>
      <c r="I486" s="706">
        <f>339.14*E486/120</f>
        <v>339.14</v>
      </c>
      <c r="J486" s="706" t="s">
        <v>35</v>
      </c>
      <c r="K486" s="706">
        <f>0.02*E486/120</f>
        <v>0.02</v>
      </c>
      <c r="L486" s="706">
        <v>0</v>
      </c>
      <c r="M486" s="706">
        <v>0</v>
      </c>
      <c r="N486" s="706">
        <f>66.8*E486/120</f>
        <v>66.8</v>
      </c>
      <c r="O486" s="706">
        <v>0</v>
      </c>
      <c r="P486" s="706">
        <f>41*E486/120</f>
        <v>41</v>
      </c>
      <c r="Q486" s="706">
        <f>1.98*E486/120</f>
        <v>1.98</v>
      </c>
      <c r="R486" s="61"/>
      <c r="S486" s="61"/>
    </row>
    <row r="487" spans="1:19" s="354" customFormat="1" ht="13.5" customHeight="1" x14ac:dyDescent="0.25">
      <c r="A487" s="471"/>
      <c r="B487" s="640"/>
      <c r="C487" s="479"/>
      <c r="D487" s="480"/>
      <c r="E487" s="217">
        <f>E486*83.3335/100</f>
        <v>100.00020000000001</v>
      </c>
      <c r="F487" s="603"/>
      <c r="G487" s="603"/>
      <c r="H487" s="603"/>
      <c r="I487" s="603"/>
      <c r="J487" s="603"/>
      <c r="K487" s="603"/>
      <c r="L487" s="603"/>
      <c r="M487" s="603"/>
      <c r="N487" s="603"/>
      <c r="O487" s="603"/>
      <c r="P487" s="603"/>
      <c r="Q487" s="603"/>
      <c r="R487" s="61"/>
      <c r="S487" s="61"/>
    </row>
    <row r="488" spans="1:19" s="354" customFormat="1" ht="12" customHeight="1" x14ac:dyDescent="0.25">
      <c r="A488" s="546">
        <v>171</v>
      </c>
      <c r="B488" s="539" t="s">
        <v>70</v>
      </c>
      <c r="C488" s="476"/>
      <c r="D488" s="477"/>
      <c r="E488" s="115">
        <v>220</v>
      </c>
      <c r="F488" s="572">
        <f>3.76*(E488+E489)/(200+50)</f>
        <v>3.4140799999999998</v>
      </c>
      <c r="G488" s="572">
        <f>8.15*(E488+E489)/(200+50)</f>
        <v>7.4002000000000008</v>
      </c>
      <c r="H488" s="572">
        <f>19.02*(E488+E489)/(200+50)</f>
        <v>17.270160000000001</v>
      </c>
      <c r="I488" s="572">
        <f>164.4*(E488+E489)/(200+50)</f>
        <v>149.27520000000001</v>
      </c>
      <c r="J488" s="572">
        <v>0</v>
      </c>
      <c r="K488" s="572">
        <f>13.57*(E488+E489)/(200+50)</f>
        <v>12.32156</v>
      </c>
      <c r="L488" s="572">
        <v>0</v>
      </c>
      <c r="M488" s="572">
        <v>0</v>
      </c>
      <c r="N488" s="572">
        <f>53.12*(E488+E489)/(200+50)</f>
        <v>48.232959999999999</v>
      </c>
      <c r="O488" s="572">
        <v>0</v>
      </c>
      <c r="P488" s="572">
        <f>42.66*(E488+E489)/(200+50)</f>
        <v>38.735279999999996</v>
      </c>
      <c r="Q488" s="572">
        <f>1.54*(E488+E489)/(200+50)</f>
        <v>1.39832</v>
      </c>
      <c r="R488" s="19"/>
      <c r="S488" s="17"/>
    </row>
    <row r="489" spans="1:19" s="354" customFormat="1" ht="12.75" customHeight="1" x14ac:dyDescent="0.25">
      <c r="A489" s="471"/>
      <c r="B489" s="478"/>
      <c r="C489" s="479"/>
      <c r="D489" s="480"/>
      <c r="E489" s="100">
        <v>7</v>
      </c>
      <c r="F489" s="471"/>
      <c r="G489" s="471"/>
      <c r="H489" s="471"/>
      <c r="I489" s="471"/>
      <c r="J489" s="471"/>
      <c r="K489" s="471"/>
      <c r="L489" s="471"/>
      <c r="M489" s="471"/>
      <c r="N489" s="471"/>
      <c r="O489" s="471"/>
      <c r="P489" s="471"/>
      <c r="Q489" s="471"/>
      <c r="R489" s="29"/>
      <c r="S489" s="29"/>
    </row>
    <row r="490" spans="1:19" s="354" customFormat="1" ht="15.75" customHeight="1" x14ac:dyDescent="0.25">
      <c r="A490" s="106">
        <v>389</v>
      </c>
      <c r="B490" s="540" t="s">
        <v>92</v>
      </c>
      <c r="C490" s="440"/>
      <c r="D490" s="441"/>
      <c r="E490" s="100">
        <v>200</v>
      </c>
      <c r="F490" s="117">
        <v>1</v>
      </c>
      <c r="G490" s="117">
        <v>0</v>
      </c>
      <c r="H490" s="117">
        <v>20.2</v>
      </c>
      <c r="I490" s="117">
        <v>84.8</v>
      </c>
      <c r="J490" s="117">
        <v>0</v>
      </c>
      <c r="K490" s="117">
        <v>4</v>
      </c>
      <c r="L490" s="117">
        <v>0</v>
      </c>
      <c r="M490" s="117">
        <v>0</v>
      </c>
      <c r="N490" s="117">
        <v>14</v>
      </c>
      <c r="O490" s="117">
        <v>0</v>
      </c>
      <c r="P490" s="117">
        <v>8</v>
      </c>
      <c r="Q490" s="117">
        <v>2.8</v>
      </c>
      <c r="R490" s="29"/>
      <c r="S490" s="29"/>
    </row>
    <row r="491" spans="1:19" s="354" customFormat="1" ht="15.75" customHeight="1" x14ac:dyDescent="0.25">
      <c r="A491" s="106" t="s">
        <v>27</v>
      </c>
      <c r="B491" s="41" t="s">
        <v>39</v>
      </c>
      <c r="C491" s="41"/>
      <c r="D491" s="41"/>
      <c r="E491" s="99">
        <v>75</v>
      </c>
      <c r="F491" s="117">
        <f>4.03*E491/50</f>
        <v>6.0449999999999999</v>
      </c>
      <c r="G491" s="117">
        <f>0.5*E491/50</f>
        <v>0.75</v>
      </c>
      <c r="H491" s="117">
        <f>22.36*E491/50</f>
        <v>33.54</v>
      </c>
      <c r="I491" s="117">
        <f>98.86*E491/50</f>
        <v>148.29</v>
      </c>
      <c r="J491" s="117">
        <v>0</v>
      </c>
      <c r="K491" s="117">
        <v>0</v>
      </c>
      <c r="L491" s="117">
        <v>0</v>
      </c>
      <c r="M491" s="117">
        <v>0</v>
      </c>
      <c r="N491" s="117">
        <f>17.59*E491/50</f>
        <v>26.385000000000002</v>
      </c>
      <c r="O491" s="117">
        <v>0</v>
      </c>
      <c r="P491" s="117">
        <f>1.89*E491/50</f>
        <v>2.835</v>
      </c>
      <c r="Q491" s="117">
        <f>0.88*E491/50</f>
        <v>1.32</v>
      </c>
      <c r="R491" s="17"/>
      <c r="S491" s="17"/>
    </row>
    <row r="492" spans="1:19" s="354" customFormat="1" ht="15.75" customHeight="1" x14ac:dyDescent="0.25">
      <c r="A492" s="106" t="s">
        <v>27</v>
      </c>
      <c r="B492" s="439" t="s">
        <v>28</v>
      </c>
      <c r="C492" s="440"/>
      <c r="D492" s="441"/>
      <c r="E492" s="99">
        <v>45</v>
      </c>
      <c r="F492" s="117">
        <f>2.26*E492/30</f>
        <v>3.3899999999999997</v>
      </c>
      <c r="G492" s="117">
        <f>0.23*E492/30</f>
        <v>0.34499999999999997</v>
      </c>
      <c r="H492" s="117">
        <f>14.66*E492/30</f>
        <v>21.990000000000002</v>
      </c>
      <c r="I492" s="117">
        <f>68.86*E492/30</f>
        <v>103.28999999999999</v>
      </c>
      <c r="J492" s="117">
        <v>0</v>
      </c>
      <c r="K492" s="117">
        <v>0</v>
      </c>
      <c r="L492" s="117">
        <v>0</v>
      </c>
      <c r="M492" s="117">
        <v>0</v>
      </c>
      <c r="N492" s="117">
        <f>12.97*E492/30</f>
        <v>19.454999999999998</v>
      </c>
      <c r="O492" s="117">
        <v>0</v>
      </c>
      <c r="P492" s="117">
        <f>2.83*E492/30</f>
        <v>4.2450000000000001</v>
      </c>
      <c r="Q492" s="117">
        <f>0.74*E492/30</f>
        <v>1.1099999999999999</v>
      </c>
      <c r="R492" s="17"/>
      <c r="S492" s="17"/>
    </row>
    <row r="493" spans="1:19" s="354" customFormat="1" ht="15.75" customHeight="1" x14ac:dyDescent="0.25">
      <c r="A493" s="106"/>
      <c r="B493" s="442" t="s">
        <v>72</v>
      </c>
      <c r="C493" s="472"/>
      <c r="D493" s="473"/>
      <c r="E493" s="99">
        <f t="shared" ref="E493:Q493" si="89">SUM(E485:E492)</f>
        <v>867.00019999999995</v>
      </c>
      <c r="F493" s="117">
        <f t="shared" si="89"/>
        <v>44.869080000000004</v>
      </c>
      <c r="G493" s="117">
        <f t="shared" si="89"/>
        <v>36.355199999999996</v>
      </c>
      <c r="H493" s="117">
        <f t="shared" si="89"/>
        <v>107.28016</v>
      </c>
      <c r="I493" s="117">
        <f t="shared" si="89"/>
        <v>917.79519999999991</v>
      </c>
      <c r="J493" s="117">
        <f t="shared" si="89"/>
        <v>0</v>
      </c>
      <c r="K493" s="117">
        <f t="shared" si="89"/>
        <v>24.841560000000001</v>
      </c>
      <c r="L493" s="117">
        <f t="shared" si="89"/>
        <v>0</v>
      </c>
      <c r="M493" s="117">
        <f t="shared" si="89"/>
        <v>0</v>
      </c>
      <c r="N493" s="117">
        <f t="shared" si="89"/>
        <v>205.22296</v>
      </c>
      <c r="O493" s="117">
        <f t="shared" si="89"/>
        <v>0</v>
      </c>
      <c r="P493" s="117">
        <f t="shared" si="89"/>
        <v>113.61528</v>
      </c>
      <c r="Q493" s="117">
        <f t="shared" si="89"/>
        <v>9.6783199999999994</v>
      </c>
      <c r="R493" s="17"/>
      <c r="S493" s="17"/>
    </row>
    <row r="494" spans="1:19" s="354" customFormat="1" ht="15.75" customHeight="1" x14ac:dyDescent="0.25">
      <c r="A494" s="201"/>
      <c r="B494" s="474" t="s">
        <v>73</v>
      </c>
      <c r="C494" s="446"/>
      <c r="D494" s="447"/>
      <c r="E494" s="106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"/>
      <c r="S494" s="1"/>
    </row>
    <row r="495" spans="1:19" s="354" customFormat="1" ht="18" customHeight="1" x14ac:dyDescent="0.25">
      <c r="A495" s="106">
        <v>386</v>
      </c>
      <c r="B495" s="544" t="s">
        <v>74</v>
      </c>
      <c r="C495" s="440"/>
      <c r="D495" s="441"/>
      <c r="E495" s="218">
        <v>200</v>
      </c>
      <c r="F495" s="346">
        <v>4.32</v>
      </c>
      <c r="G495" s="346">
        <v>2.5</v>
      </c>
      <c r="H495" s="346">
        <v>9.8800000000000008</v>
      </c>
      <c r="I495" s="346">
        <v>82.54</v>
      </c>
      <c r="J495" s="346">
        <v>0</v>
      </c>
      <c r="K495" s="346">
        <v>0</v>
      </c>
      <c r="L495" s="346">
        <v>0</v>
      </c>
      <c r="M495" s="346">
        <v>0</v>
      </c>
      <c r="N495" s="346">
        <v>120.96</v>
      </c>
      <c r="O495" s="346">
        <v>0</v>
      </c>
      <c r="P495" s="346">
        <v>14.11</v>
      </c>
      <c r="Q495" s="346">
        <v>0.1</v>
      </c>
      <c r="R495" s="29"/>
      <c r="S495" s="29"/>
    </row>
    <row r="496" spans="1:19" s="354" customFormat="1" ht="15" customHeight="1" x14ac:dyDescent="0.25">
      <c r="A496" s="106" t="s">
        <v>27</v>
      </c>
      <c r="B496" s="436" t="s">
        <v>222</v>
      </c>
      <c r="C496" s="440"/>
      <c r="D496" s="441"/>
      <c r="E496" s="115">
        <v>30</v>
      </c>
      <c r="F496" s="115">
        <v>1.25</v>
      </c>
      <c r="G496" s="115">
        <v>1.48</v>
      </c>
      <c r="H496" s="115">
        <v>34.89</v>
      </c>
      <c r="I496" s="115">
        <v>160.75</v>
      </c>
      <c r="J496" s="115">
        <v>0</v>
      </c>
      <c r="K496" s="115">
        <v>0.1</v>
      </c>
      <c r="L496" s="115">
        <v>0</v>
      </c>
      <c r="M496" s="115">
        <v>0</v>
      </c>
      <c r="N496" s="115">
        <v>6.8</v>
      </c>
      <c r="O496" s="115">
        <v>0</v>
      </c>
      <c r="P496" s="115">
        <v>4.53</v>
      </c>
      <c r="Q496" s="115">
        <v>0.9</v>
      </c>
      <c r="R496" s="29"/>
      <c r="S496" s="29"/>
    </row>
    <row r="497" spans="1:19" s="354" customFormat="1" ht="15.75" customHeight="1" x14ac:dyDescent="0.25">
      <c r="A497" s="106"/>
      <c r="B497" s="442" t="s">
        <v>52</v>
      </c>
      <c r="C497" s="472"/>
      <c r="D497" s="473"/>
      <c r="E497" s="100">
        <f t="shared" ref="E497:Q497" si="90">SUM(E495:E496)</f>
        <v>230</v>
      </c>
      <c r="F497" s="117">
        <f t="shared" si="90"/>
        <v>5.57</v>
      </c>
      <c r="G497" s="117">
        <f t="shared" si="90"/>
        <v>3.98</v>
      </c>
      <c r="H497" s="117">
        <f t="shared" si="90"/>
        <v>44.77</v>
      </c>
      <c r="I497" s="117">
        <f t="shared" si="90"/>
        <v>243.29000000000002</v>
      </c>
      <c r="J497" s="117">
        <f t="shared" si="90"/>
        <v>0</v>
      </c>
      <c r="K497" s="117">
        <f t="shared" si="90"/>
        <v>0.1</v>
      </c>
      <c r="L497" s="117">
        <f t="shared" si="90"/>
        <v>0</v>
      </c>
      <c r="M497" s="117">
        <f t="shared" si="90"/>
        <v>0</v>
      </c>
      <c r="N497" s="117">
        <f t="shared" si="90"/>
        <v>127.75999999999999</v>
      </c>
      <c r="O497" s="117">
        <f t="shared" si="90"/>
        <v>0</v>
      </c>
      <c r="P497" s="117">
        <f t="shared" si="90"/>
        <v>18.64</v>
      </c>
      <c r="Q497" s="117">
        <f t="shared" si="90"/>
        <v>1</v>
      </c>
      <c r="R497" s="17"/>
      <c r="S497" s="17"/>
    </row>
    <row r="498" spans="1:19" s="354" customFormat="1" ht="15.75" customHeight="1" x14ac:dyDescent="0.25">
      <c r="A498" s="106"/>
      <c r="B498" s="436" t="s">
        <v>53</v>
      </c>
      <c r="C498" s="437"/>
      <c r="D498" s="438"/>
      <c r="E498" s="100">
        <v>8</v>
      </c>
      <c r="F498" s="117"/>
      <c r="G498" s="117"/>
      <c r="H498" s="117"/>
      <c r="I498" s="117"/>
      <c r="J498" s="117"/>
      <c r="K498" s="117"/>
      <c r="L498" s="117"/>
      <c r="M498" s="117"/>
      <c r="N498" s="117">
        <v>29.44</v>
      </c>
      <c r="O498" s="117"/>
      <c r="P498" s="117">
        <v>1.76</v>
      </c>
      <c r="Q498" s="117">
        <v>0.23</v>
      </c>
      <c r="R498" s="221"/>
      <c r="S498" s="221"/>
    </row>
    <row r="499" spans="1:19" s="354" customFormat="1" ht="15.75" customHeight="1" x14ac:dyDescent="0.25">
      <c r="A499" s="106"/>
      <c r="B499" s="422" t="s">
        <v>236</v>
      </c>
      <c r="C499" s="423"/>
      <c r="D499" s="424"/>
      <c r="E499" s="27">
        <f t="shared" ref="E499:M499" si="91">SUM(E465,E468,E479,E483,E493,E497)</f>
        <v>3579.0021999999999</v>
      </c>
      <c r="F499" s="22">
        <f t="shared" si="91"/>
        <v>143.51908</v>
      </c>
      <c r="G499" s="22">
        <f t="shared" si="91"/>
        <v>121.6902</v>
      </c>
      <c r="H499" s="22">
        <f t="shared" si="91"/>
        <v>518.78765999999996</v>
      </c>
      <c r="I499" s="22">
        <f t="shared" si="91"/>
        <v>3804.0502000000001</v>
      </c>
      <c r="J499" s="22">
        <f t="shared" si="91"/>
        <v>0.188</v>
      </c>
      <c r="K499" s="22">
        <f t="shared" si="91"/>
        <v>99.661559999999994</v>
      </c>
      <c r="L499" s="22">
        <f t="shared" si="91"/>
        <v>4.8999999999999995</v>
      </c>
      <c r="M499" s="22">
        <f t="shared" si="91"/>
        <v>36.980000000000004</v>
      </c>
      <c r="N499" s="22">
        <f>SUM(N465,N468,N479,N483,N493,N497,N498)</f>
        <v>1469.5829600000002</v>
      </c>
      <c r="O499" s="42">
        <f>SUM(O465,O468,O479,O483,O493,O497)</f>
        <v>307.81899999999996</v>
      </c>
      <c r="P499" s="22">
        <f>SUM(P465,P468,P479,P483,P493,P497)</f>
        <v>693.64027999999996</v>
      </c>
      <c r="Q499" s="22">
        <f>SUM(Q465,Q468,Q479,Q483,Q493,Q497)</f>
        <v>41.270820000000001</v>
      </c>
      <c r="R499" s="17"/>
      <c r="S499" s="17"/>
    </row>
    <row r="500" spans="1:19" s="354" customFormat="1" ht="15.75" customHeight="1" x14ac:dyDescent="0.25">
      <c r="A500" s="355"/>
      <c r="B500" s="43"/>
      <c r="C500" s="43"/>
      <c r="D500" s="43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1"/>
      <c r="S500" s="1"/>
    </row>
    <row r="501" spans="1:19" s="354" customFormat="1" ht="15" customHeight="1" x14ac:dyDescent="0.25">
      <c r="A501" s="523" t="s">
        <v>190</v>
      </c>
      <c r="B501" s="524"/>
      <c r="C501" s="524"/>
      <c r="D501" s="524"/>
      <c r="E501" s="524"/>
      <c r="F501" s="524"/>
      <c r="G501" s="524"/>
      <c r="H501" s="524"/>
      <c r="I501" s="524"/>
      <c r="J501" s="524"/>
      <c r="K501" s="524"/>
      <c r="L501" s="524"/>
      <c r="M501" s="524"/>
      <c r="N501" s="524"/>
      <c r="O501" s="524"/>
      <c r="P501" s="524"/>
      <c r="Q501" s="524"/>
      <c r="R501" s="525"/>
      <c r="S501" s="1"/>
    </row>
    <row r="502" spans="1:19" s="354" customFormat="1" ht="15.75" customHeight="1" x14ac:dyDescent="0.25">
      <c r="A502" s="526" t="s">
        <v>3</v>
      </c>
      <c r="B502" s="766" t="s">
        <v>4</v>
      </c>
      <c r="C502" s="767"/>
      <c r="D502" s="768"/>
      <c r="E502" s="529" t="s">
        <v>5</v>
      </c>
      <c r="F502" s="530" t="s">
        <v>6</v>
      </c>
      <c r="G502" s="440"/>
      <c r="H502" s="441"/>
      <c r="I502" s="764" t="s">
        <v>7</v>
      </c>
      <c r="J502" s="530" t="s">
        <v>8</v>
      </c>
      <c r="K502" s="440"/>
      <c r="L502" s="440"/>
      <c r="M502" s="441"/>
      <c r="N502" s="530" t="s">
        <v>9</v>
      </c>
      <c r="O502" s="440"/>
      <c r="P502" s="440"/>
      <c r="Q502" s="441"/>
      <c r="R502" s="1"/>
      <c r="S502" s="1"/>
    </row>
    <row r="503" spans="1:19" s="354" customFormat="1" ht="27" customHeight="1" x14ac:dyDescent="0.25">
      <c r="A503" s="527"/>
      <c r="B503" s="769"/>
      <c r="C503" s="770"/>
      <c r="D503" s="771"/>
      <c r="E503" s="527"/>
      <c r="F503" s="33" t="s">
        <v>10</v>
      </c>
      <c r="G503" s="33" t="s">
        <v>11</v>
      </c>
      <c r="H503" s="33" t="s">
        <v>12</v>
      </c>
      <c r="I503" s="765"/>
      <c r="J503" s="34" t="s">
        <v>13</v>
      </c>
      <c r="K503" s="34" t="s">
        <v>14</v>
      </c>
      <c r="L503" s="34" t="s">
        <v>15</v>
      </c>
      <c r="M503" s="345" t="s">
        <v>16</v>
      </c>
      <c r="N503" s="36" t="s">
        <v>17</v>
      </c>
      <c r="O503" s="34" t="s">
        <v>18</v>
      </c>
      <c r="P503" s="34" t="s">
        <v>19</v>
      </c>
      <c r="Q503" s="345" t="s">
        <v>20</v>
      </c>
      <c r="R503" s="1"/>
      <c r="S503" s="1"/>
    </row>
    <row r="504" spans="1:19" s="354" customFormat="1" ht="15.75" customHeight="1" x14ac:dyDescent="0.25">
      <c r="A504" s="220">
        <v>1</v>
      </c>
      <c r="B504" s="532">
        <v>2</v>
      </c>
      <c r="C504" s="440"/>
      <c r="D504" s="441"/>
      <c r="E504" s="57">
        <v>3</v>
      </c>
      <c r="F504" s="57">
        <v>4</v>
      </c>
      <c r="G504" s="57">
        <v>5</v>
      </c>
      <c r="H504" s="57">
        <v>6</v>
      </c>
      <c r="I504" s="58">
        <v>7</v>
      </c>
      <c r="J504" s="57">
        <v>8</v>
      </c>
      <c r="K504" s="57">
        <v>9</v>
      </c>
      <c r="L504" s="57">
        <v>10</v>
      </c>
      <c r="M504" s="59">
        <v>11</v>
      </c>
      <c r="N504" s="57">
        <v>12</v>
      </c>
      <c r="O504" s="57">
        <v>13</v>
      </c>
      <c r="P504" s="57">
        <v>14</v>
      </c>
      <c r="Q504" s="60">
        <v>15</v>
      </c>
      <c r="R504" s="1"/>
      <c r="S504" s="1"/>
    </row>
    <row r="505" spans="1:19" s="354" customFormat="1" ht="15.75" customHeight="1" x14ac:dyDescent="0.25">
      <c r="A505" s="201"/>
      <c r="B505" s="522" t="s">
        <v>21</v>
      </c>
      <c r="C505" s="446"/>
      <c r="D505" s="447"/>
      <c r="E505" s="106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"/>
      <c r="S505" s="1"/>
    </row>
    <row r="506" spans="1:19" s="354" customFormat="1" ht="18" customHeight="1" x14ac:dyDescent="0.25">
      <c r="A506" s="106">
        <v>2</v>
      </c>
      <c r="B506" s="439" t="s">
        <v>108</v>
      </c>
      <c r="C506" s="440"/>
      <c r="D506" s="441"/>
      <c r="E506" s="147" t="s">
        <v>109</v>
      </c>
      <c r="F506" s="117">
        <v>8.3333333333333329E-2</v>
      </c>
      <c r="G506" s="117">
        <v>7.1499999999999995</v>
      </c>
      <c r="H506" s="117">
        <v>0.11666666666666668</v>
      </c>
      <c r="I506" s="117">
        <v>64.7</v>
      </c>
      <c r="J506" s="117">
        <v>0</v>
      </c>
      <c r="K506" s="117">
        <v>0</v>
      </c>
      <c r="L506" s="117">
        <v>0</v>
      </c>
      <c r="M506" s="117">
        <v>0</v>
      </c>
      <c r="N506" s="117">
        <v>2.4</v>
      </c>
      <c r="O506" s="117">
        <v>0</v>
      </c>
      <c r="P506" s="117">
        <v>0</v>
      </c>
      <c r="Q506" s="117">
        <v>0</v>
      </c>
      <c r="R506" s="17"/>
      <c r="S506" s="17"/>
    </row>
    <row r="507" spans="1:19" s="354" customFormat="1" ht="15.75" customHeight="1" x14ac:dyDescent="0.25">
      <c r="A507" s="709">
        <v>174</v>
      </c>
      <c r="B507" s="711" t="s">
        <v>110</v>
      </c>
      <c r="C507" s="609"/>
      <c r="D507" s="610"/>
      <c r="E507" s="138">
        <v>250</v>
      </c>
      <c r="F507" s="708">
        <f>6.74*(E507+E508)/(250+10)</f>
        <v>6.74</v>
      </c>
      <c r="G507" s="708">
        <f>7.98*(E507+E508)/(250+10)</f>
        <v>7.98</v>
      </c>
      <c r="H507" s="708">
        <f>33.91*(E507+E508)/(250+10)</f>
        <v>33.909999999999997</v>
      </c>
      <c r="I507" s="708">
        <f>233.75*(E507+E508)/(250+10)</f>
        <v>233.75</v>
      </c>
      <c r="J507" s="572">
        <v>0</v>
      </c>
      <c r="K507" s="572">
        <v>0</v>
      </c>
      <c r="L507" s="572">
        <v>0</v>
      </c>
      <c r="M507" s="708">
        <v>0</v>
      </c>
      <c r="N507" s="708">
        <f>130.63*(E507+E508)/(250+10)</f>
        <v>130.63</v>
      </c>
      <c r="O507" s="708">
        <v>0</v>
      </c>
      <c r="P507" s="572">
        <f>70.25*(E507+E508)/(250+10)</f>
        <v>70.25</v>
      </c>
      <c r="Q507" s="708">
        <f>1.93*(E507+E508)/(250+10)</f>
        <v>1.93</v>
      </c>
      <c r="R507" s="18"/>
      <c r="S507" s="18"/>
    </row>
    <row r="508" spans="1:19" s="354" customFormat="1" ht="15.75" customHeight="1" x14ac:dyDescent="0.25">
      <c r="A508" s="710"/>
      <c r="B508" s="712"/>
      <c r="C508" s="612"/>
      <c r="D508" s="613"/>
      <c r="E508" s="126">
        <f>E507*4/100</f>
        <v>10</v>
      </c>
      <c r="F508" s="471"/>
      <c r="G508" s="471"/>
      <c r="H508" s="471"/>
      <c r="I508" s="471"/>
      <c r="J508" s="471"/>
      <c r="K508" s="471"/>
      <c r="L508" s="471"/>
      <c r="M508" s="471"/>
      <c r="N508" s="471"/>
      <c r="O508" s="471"/>
      <c r="P508" s="471"/>
      <c r="Q508" s="471"/>
      <c r="R508" s="62"/>
      <c r="S508" s="17"/>
    </row>
    <row r="509" spans="1:19" s="354" customFormat="1" ht="15.75" customHeight="1" x14ac:dyDescent="0.25">
      <c r="A509" s="106">
        <v>378</v>
      </c>
      <c r="B509" s="540" t="s">
        <v>111</v>
      </c>
      <c r="C509" s="440"/>
      <c r="D509" s="441"/>
      <c r="E509" s="106">
        <v>200</v>
      </c>
      <c r="F509" s="117">
        <v>1.52</v>
      </c>
      <c r="G509" s="117">
        <v>1.35</v>
      </c>
      <c r="H509" s="117">
        <v>15.9</v>
      </c>
      <c r="I509" s="117">
        <v>81</v>
      </c>
      <c r="J509" s="117">
        <v>0</v>
      </c>
      <c r="K509" s="117">
        <v>1.33</v>
      </c>
      <c r="L509" s="117">
        <v>0</v>
      </c>
      <c r="M509" s="117">
        <v>0</v>
      </c>
      <c r="N509" s="117">
        <v>126.6</v>
      </c>
      <c r="O509" s="117">
        <v>0</v>
      </c>
      <c r="P509" s="117">
        <v>15.4</v>
      </c>
      <c r="Q509" s="117">
        <v>0.41</v>
      </c>
      <c r="R509" s="63"/>
      <c r="S509" s="29"/>
    </row>
    <row r="510" spans="1:19" s="354" customFormat="1" ht="15.75" customHeight="1" x14ac:dyDescent="0.25">
      <c r="A510" s="106" t="s">
        <v>27</v>
      </c>
      <c r="B510" s="439" t="s">
        <v>28</v>
      </c>
      <c r="C510" s="440"/>
      <c r="D510" s="441"/>
      <c r="E510" s="99">
        <v>45</v>
      </c>
      <c r="F510" s="117">
        <f>4.03*E510/50</f>
        <v>3.6270000000000007</v>
      </c>
      <c r="G510" s="117">
        <f>0.5*E510/50</f>
        <v>0.45</v>
      </c>
      <c r="H510" s="117">
        <f>22.36*E510/50</f>
        <v>20.123999999999999</v>
      </c>
      <c r="I510" s="117">
        <f>98.86*E510/50</f>
        <v>88.97399999999999</v>
      </c>
      <c r="J510" s="117">
        <v>0</v>
      </c>
      <c r="K510" s="117">
        <v>0</v>
      </c>
      <c r="L510" s="117">
        <v>0</v>
      </c>
      <c r="M510" s="117">
        <v>0</v>
      </c>
      <c r="N510" s="117">
        <f>17.59*E510/50</f>
        <v>15.831</v>
      </c>
      <c r="O510" s="117">
        <v>0</v>
      </c>
      <c r="P510" s="117">
        <f>1.89*E510/50</f>
        <v>1.7009999999999998</v>
      </c>
      <c r="Q510" s="117">
        <f>0.88*E510/50</f>
        <v>0.79200000000000004</v>
      </c>
      <c r="R510" s="17"/>
      <c r="S510" s="17"/>
    </row>
    <row r="511" spans="1:19" s="354" customFormat="1" ht="15.75" customHeight="1" x14ac:dyDescent="0.25">
      <c r="A511" s="106">
        <v>209</v>
      </c>
      <c r="B511" s="439" t="s">
        <v>25</v>
      </c>
      <c r="C511" s="440"/>
      <c r="D511" s="441"/>
      <c r="E511" s="106">
        <v>41</v>
      </c>
      <c r="F511" s="106">
        <v>5.72</v>
      </c>
      <c r="G511" s="106">
        <v>4.8499999999999996</v>
      </c>
      <c r="H511" s="106">
        <v>0.03</v>
      </c>
      <c r="I511" s="106">
        <v>66.650000000000006</v>
      </c>
      <c r="J511" s="106">
        <v>3.3000000000000002E-2</v>
      </c>
      <c r="K511" s="106" t="s">
        <v>35</v>
      </c>
      <c r="L511" s="106">
        <v>0.16800000000000001</v>
      </c>
      <c r="M511" s="106" t="s">
        <v>35</v>
      </c>
      <c r="N511" s="106">
        <v>26.4</v>
      </c>
      <c r="O511" s="106">
        <v>88.8</v>
      </c>
      <c r="P511" s="106">
        <v>25.42</v>
      </c>
      <c r="Q511" s="106">
        <v>1.29</v>
      </c>
      <c r="R511" s="17"/>
      <c r="S511" s="17"/>
    </row>
    <row r="512" spans="1:19" s="354" customFormat="1" ht="18" customHeight="1" x14ac:dyDescent="0.25">
      <c r="A512" s="106"/>
      <c r="B512" s="442" t="s">
        <v>29</v>
      </c>
      <c r="C512" s="472"/>
      <c r="D512" s="473"/>
      <c r="E512" s="334">
        <v>635</v>
      </c>
      <c r="F512" s="117">
        <f t="shared" ref="F512:Q512" si="92">SUM(F506:F511)</f>
        <v>17.690333333333335</v>
      </c>
      <c r="G512" s="117">
        <f t="shared" si="92"/>
        <v>21.78</v>
      </c>
      <c r="H512" s="117">
        <f t="shared" si="92"/>
        <v>70.080666666666659</v>
      </c>
      <c r="I512" s="117">
        <f t="shared" si="92"/>
        <v>535.07399999999996</v>
      </c>
      <c r="J512" s="132">
        <f t="shared" si="92"/>
        <v>3.3000000000000002E-2</v>
      </c>
      <c r="K512" s="132">
        <f t="shared" si="92"/>
        <v>1.33</v>
      </c>
      <c r="L512" s="117">
        <f t="shared" si="92"/>
        <v>0.16800000000000001</v>
      </c>
      <c r="M512" s="117">
        <f t="shared" si="92"/>
        <v>0</v>
      </c>
      <c r="N512" s="117">
        <f t="shared" si="92"/>
        <v>301.86099999999999</v>
      </c>
      <c r="O512" s="117">
        <f t="shared" si="92"/>
        <v>88.8</v>
      </c>
      <c r="P512" s="117">
        <f t="shared" si="92"/>
        <v>112.771</v>
      </c>
      <c r="Q512" s="117">
        <f t="shared" si="92"/>
        <v>4.4219999999999997</v>
      </c>
      <c r="R512" s="29"/>
      <c r="S512" s="29"/>
    </row>
    <row r="513" spans="1:19" s="354" customFormat="1" ht="15.75" customHeight="1" x14ac:dyDescent="0.25">
      <c r="A513" s="201"/>
      <c r="B513" s="522" t="s">
        <v>30</v>
      </c>
      <c r="C513" s="446"/>
      <c r="D513" s="447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"/>
      <c r="S513" s="1"/>
    </row>
    <row r="514" spans="1:19" s="354" customFormat="1" ht="17.25" customHeight="1" x14ac:dyDescent="0.25">
      <c r="A514" s="106">
        <v>338</v>
      </c>
      <c r="B514" s="439" t="s">
        <v>31</v>
      </c>
      <c r="C514" s="440"/>
      <c r="D514" s="441"/>
      <c r="E514" s="133">
        <v>300</v>
      </c>
      <c r="F514" s="133">
        <v>1.2</v>
      </c>
      <c r="G514" s="134">
        <v>1.2</v>
      </c>
      <c r="H514" s="133">
        <v>29.4</v>
      </c>
      <c r="I514" s="133">
        <v>132</v>
      </c>
      <c r="J514" s="133">
        <v>0</v>
      </c>
      <c r="K514" s="133">
        <v>30</v>
      </c>
      <c r="L514" s="133">
        <v>0</v>
      </c>
      <c r="M514" s="133">
        <v>0</v>
      </c>
      <c r="N514" s="133">
        <v>48</v>
      </c>
      <c r="O514" s="133">
        <v>0</v>
      </c>
      <c r="P514" s="133">
        <v>27</v>
      </c>
      <c r="Q514" s="133">
        <v>6.6</v>
      </c>
      <c r="R514" s="39"/>
      <c r="S514" s="39"/>
    </row>
    <row r="515" spans="1:19" s="354" customFormat="1" ht="15.75" customHeight="1" x14ac:dyDescent="0.25">
      <c r="A515" s="106"/>
      <c r="B515" s="442" t="s">
        <v>112</v>
      </c>
      <c r="C515" s="472"/>
      <c r="D515" s="473"/>
      <c r="E515" s="106">
        <f>E514</f>
        <v>300</v>
      </c>
      <c r="F515" s="106">
        <f t="shared" ref="F515:Q515" si="93">SUM(F514)</f>
        <v>1.2</v>
      </c>
      <c r="G515" s="132">
        <f t="shared" si="93"/>
        <v>1.2</v>
      </c>
      <c r="H515" s="106">
        <f t="shared" si="93"/>
        <v>29.4</v>
      </c>
      <c r="I515" s="106">
        <f t="shared" si="93"/>
        <v>132</v>
      </c>
      <c r="J515" s="106">
        <f t="shared" si="93"/>
        <v>0</v>
      </c>
      <c r="K515" s="106">
        <f t="shared" si="93"/>
        <v>30</v>
      </c>
      <c r="L515" s="106">
        <f t="shared" si="93"/>
        <v>0</v>
      </c>
      <c r="M515" s="106">
        <f t="shared" si="93"/>
        <v>0</v>
      </c>
      <c r="N515" s="106">
        <f t="shared" si="93"/>
        <v>48</v>
      </c>
      <c r="O515" s="106">
        <f t="shared" si="93"/>
        <v>0</v>
      </c>
      <c r="P515" s="106">
        <f t="shared" si="93"/>
        <v>27</v>
      </c>
      <c r="Q515" s="106">
        <f t="shared" si="93"/>
        <v>6.6</v>
      </c>
      <c r="R515" s="17"/>
      <c r="S515" s="17"/>
    </row>
    <row r="516" spans="1:19" s="354" customFormat="1" ht="15.75" customHeight="1" x14ac:dyDescent="0.25">
      <c r="A516" s="201"/>
      <c r="B516" s="714" t="s">
        <v>33</v>
      </c>
      <c r="C516" s="715"/>
      <c r="D516" s="71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"/>
      <c r="S516" s="1"/>
    </row>
    <row r="517" spans="1:19" s="359" customFormat="1" ht="19.5" customHeight="1" x14ac:dyDescent="0.25">
      <c r="A517" s="122" t="s">
        <v>27</v>
      </c>
      <c r="B517" s="448" t="s">
        <v>217</v>
      </c>
      <c r="C517" s="440"/>
      <c r="D517" s="441"/>
      <c r="E517" s="137">
        <v>50</v>
      </c>
      <c r="F517" s="182">
        <f>1.2*E517/100</f>
        <v>0.6</v>
      </c>
      <c r="G517" s="182">
        <f>0*E517/100</f>
        <v>0</v>
      </c>
      <c r="H517" s="182">
        <f>4.6*E517/100</f>
        <v>2.2999999999999998</v>
      </c>
      <c r="I517" s="182">
        <f>23.2*E517/100</f>
        <v>11.6</v>
      </c>
      <c r="J517" s="182">
        <f>0*E517/100</f>
        <v>0</v>
      </c>
      <c r="K517" s="182">
        <f>25*E517/100</f>
        <v>12.5</v>
      </c>
      <c r="L517" s="182">
        <v>0</v>
      </c>
      <c r="M517" s="182">
        <v>0</v>
      </c>
      <c r="N517" s="182">
        <f>14*E517/100</f>
        <v>7</v>
      </c>
      <c r="O517" s="182">
        <v>0</v>
      </c>
      <c r="P517" s="182">
        <f>9.34*E517/100</f>
        <v>4.67</v>
      </c>
      <c r="Q517" s="182">
        <f>0.9*E517/100</f>
        <v>0.45</v>
      </c>
      <c r="R517" s="1"/>
      <c r="S517" s="1"/>
    </row>
    <row r="518" spans="1:19" s="354" customFormat="1" ht="15.75" customHeight="1" x14ac:dyDescent="0.25">
      <c r="A518" s="115">
        <v>101</v>
      </c>
      <c r="B518" s="439" t="s">
        <v>114</v>
      </c>
      <c r="C518" s="440"/>
      <c r="D518" s="441"/>
      <c r="E518" s="392">
        <v>250</v>
      </c>
      <c r="F518" s="115">
        <f>2.2*E518/250</f>
        <v>2.2000000000000002</v>
      </c>
      <c r="G518" s="115">
        <f>2.83*E518/250</f>
        <v>2.83</v>
      </c>
      <c r="H518" s="115">
        <f>20.93*E518/250</f>
        <v>20.93</v>
      </c>
      <c r="I518" s="115">
        <f>116.29*E518/250</f>
        <v>116.29</v>
      </c>
      <c r="J518" s="115"/>
      <c r="K518" s="115">
        <f>8.25*E518/250</f>
        <v>8.25</v>
      </c>
      <c r="L518" s="115">
        <v>0</v>
      </c>
      <c r="M518" s="115">
        <v>0</v>
      </c>
      <c r="N518" s="115">
        <f>23.05*E518/250</f>
        <v>23.05</v>
      </c>
      <c r="O518" s="115">
        <v>0</v>
      </c>
      <c r="P518" s="115">
        <f>25*E518/250</f>
        <v>25</v>
      </c>
      <c r="Q518" s="115">
        <f>0.88*E518/250</f>
        <v>0.88</v>
      </c>
      <c r="R518" s="17"/>
      <c r="S518" s="17"/>
    </row>
    <row r="519" spans="1:19" s="354" customFormat="1" ht="11.25" customHeight="1" x14ac:dyDescent="0.25">
      <c r="A519" s="470" t="s">
        <v>68</v>
      </c>
      <c r="B519" s="539" t="s">
        <v>69</v>
      </c>
      <c r="C519" s="476"/>
      <c r="D519" s="477"/>
      <c r="E519" s="393">
        <v>120</v>
      </c>
      <c r="F519" s="470">
        <f>23.56*(E519+E520)/(100+100)</f>
        <v>28.271999999999998</v>
      </c>
      <c r="G519" s="470">
        <f>20.24*(E519+E520)/(100+100)</f>
        <v>24.287999999999997</v>
      </c>
      <c r="H519" s="470">
        <f>5.86*(E519+E520)/(100+100)</f>
        <v>7.032</v>
      </c>
      <c r="I519" s="470">
        <f>300*(E519+E520)/(100+100)</f>
        <v>360</v>
      </c>
      <c r="J519" s="470">
        <v>0</v>
      </c>
      <c r="K519" s="470">
        <f>2.88*(E519+E520)/(100+100)</f>
        <v>3.4559999999999995</v>
      </c>
      <c r="L519" s="470">
        <v>0</v>
      </c>
      <c r="M519" s="470">
        <v>0</v>
      </c>
      <c r="N519" s="470">
        <f>77.8*(E519+E520)/(100+100)</f>
        <v>93.36</v>
      </c>
      <c r="O519" s="470">
        <v>0</v>
      </c>
      <c r="P519" s="470">
        <f>26.28*(E519+E520)/(100+100)</f>
        <v>31.536000000000005</v>
      </c>
      <c r="Q519" s="470">
        <f>1.82*(E519+E520)/(100+100)</f>
        <v>2.1840000000000002</v>
      </c>
      <c r="R519" s="17"/>
      <c r="S519" s="17"/>
    </row>
    <row r="520" spans="1:19" s="354" customFormat="1" ht="10.5" customHeight="1" x14ac:dyDescent="0.25">
      <c r="A520" s="471"/>
      <c r="B520" s="478"/>
      <c r="C520" s="479"/>
      <c r="D520" s="480"/>
      <c r="E520" s="393">
        <f>E519</f>
        <v>120</v>
      </c>
      <c r="F520" s="471"/>
      <c r="G520" s="471"/>
      <c r="H520" s="471"/>
      <c r="I520" s="471"/>
      <c r="J520" s="471"/>
      <c r="K520" s="471"/>
      <c r="L520" s="471"/>
      <c r="M520" s="471"/>
      <c r="N520" s="471"/>
      <c r="O520" s="471"/>
      <c r="P520" s="471"/>
      <c r="Q520" s="471"/>
      <c r="R520" s="19"/>
      <c r="S520" s="19"/>
    </row>
    <row r="521" spans="1:19" s="354" customFormat="1" ht="11.25" customHeight="1" x14ac:dyDescent="0.25">
      <c r="A521" s="470">
        <v>171</v>
      </c>
      <c r="B521" s="552" t="s">
        <v>115</v>
      </c>
      <c r="C521" s="476"/>
      <c r="D521" s="477"/>
      <c r="E521" s="394">
        <v>220</v>
      </c>
      <c r="F521" s="537">
        <f>11.05*(E521+E522)/(190+10)</f>
        <v>12.7955685</v>
      </c>
      <c r="G521" s="537">
        <f>11.93*(E521+E522)/(190+10)</f>
        <v>13.814582100000001</v>
      </c>
      <c r="H521" s="537">
        <f>46.07*(E521+E522)/(190+10)</f>
        <v>53.347677900000001</v>
      </c>
      <c r="I521" s="537">
        <f>350*(E521+E522)/(190+10)</f>
        <v>405.28949999999998</v>
      </c>
      <c r="J521" s="537">
        <v>0</v>
      </c>
      <c r="K521" s="537">
        <v>0</v>
      </c>
      <c r="L521" s="537">
        <v>0</v>
      </c>
      <c r="M521" s="537">
        <v>0</v>
      </c>
      <c r="N521" s="537">
        <f>32.97*(E521+E522)/(190+10)</f>
        <v>38.178270900000001</v>
      </c>
      <c r="O521" s="537">
        <v>0</v>
      </c>
      <c r="P521" s="537">
        <f>175.64*(E521+E522)/(190+10)</f>
        <v>203.38585079999996</v>
      </c>
      <c r="Q521" s="537">
        <f>5.9*(E521+E522)/(190+10)</f>
        <v>6.8320230000000004</v>
      </c>
      <c r="R521" s="19"/>
      <c r="S521" s="19"/>
    </row>
    <row r="522" spans="1:19" s="354" customFormat="1" ht="11.25" customHeight="1" x14ac:dyDescent="0.25">
      <c r="A522" s="471"/>
      <c r="B522" s="478"/>
      <c r="C522" s="479"/>
      <c r="D522" s="480"/>
      <c r="E522" s="395">
        <f>E521*5.27/100</f>
        <v>11.593999999999999</v>
      </c>
      <c r="F522" s="471"/>
      <c r="G522" s="471"/>
      <c r="H522" s="471"/>
      <c r="I522" s="471"/>
      <c r="J522" s="471"/>
      <c r="K522" s="471"/>
      <c r="L522" s="471"/>
      <c r="M522" s="471"/>
      <c r="N522" s="471"/>
      <c r="O522" s="471"/>
      <c r="P522" s="471"/>
      <c r="Q522" s="471"/>
      <c r="R522" s="17"/>
      <c r="S522" s="17"/>
    </row>
    <row r="523" spans="1:19" s="354" customFormat="1" ht="15.75" customHeight="1" x14ac:dyDescent="0.25">
      <c r="A523" s="106">
        <v>389</v>
      </c>
      <c r="B523" s="540" t="s">
        <v>92</v>
      </c>
      <c r="C523" s="440"/>
      <c r="D523" s="441"/>
      <c r="E523" s="100">
        <v>200</v>
      </c>
      <c r="F523" s="117">
        <v>1</v>
      </c>
      <c r="G523" s="117">
        <v>0</v>
      </c>
      <c r="H523" s="117">
        <v>20.2</v>
      </c>
      <c r="I523" s="117">
        <v>84.8</v>
      </c>
      <c r="J523" s="117">
        <v>0</v>
      </c>
      <c r="K523" s="117">
        <v>4</v>
      </c>
      <c r="L523" s="117">
        <v>0</v>
      </c>
      <c r="M523" s="117">
        <v>0</v>
      </c>
      <c r="N523" s="117">
        <v>14</v>
      </c>
      <c r="O523" s="117">
        <v>0</v>
      </c>
      <c r="P523" s="117">
        <v>8</v>
      </c>
      <c r="Q523" s="117">
        <v>2.8</v>
      </c>
      <c r="R523" s="29"/>
      <c r="S523" s="29"/>
    </row>
    <row r="524" spans="1:19" s="354" customFormat="1" ht="15.75" customHeight="1" x14ac:dyDescent="0.25">
      <c r="A524" s="106" t="s">
        <v>27</v>
      </c>
      <c r="B524" s="41" t="s">
        <v>39</v>
      </c>
      <c r="C524" s="41"/>
      <c r="D524" s="41"/>
      <c r="E524" s="99">
        <v>120</v>
      </c>
      <c r="F524" s="117">
        <f>4.03*E524/50</f>
        <v>9.6720000000000006</v>
      </c>
      <c r="G524" s="117">
        <f>0.5*E524/50</f>
        <v>1.2</v>
      </c>
      <c r="H524" s="117">
        <f>22.36*E524/50</f>
        <v>53.663999999999994</v>
      </c>
      <c r="I524" s="117">
        <f>98.86*E524/50</f>
        <v>237.26400000000001</v>
      </c>
      <c r="J524" s="117">
        <v>0</v>
      </c>
      <c r="K524" s="117">
        <v>0</v>
      </c>
      <c r="L524" s="117">
        <v>0</v>
      </c>
      <c r="M524" s="117">
        <v>0</v>
      </c>
      <c r="N524" s="117">
        <f>17.59*E524/50</f>
        <v>42.216000000000001</v>
      </c>
      <c r="O524" s="117">
        <v>0</v>
      </c>
      <c r="P524" s="117">
        <f>1.89*E524/50</f>
        <v>4.5359999999999996</v>
      </c>
      <c r="Q524" s="117">
        <f>0.88*E524/50</f>
        <v>2.1120000000000001</v>
      </c>
      <c r="R524" s="17"/>
      <c r="S524" s="17"/>
    </row>
    <row r="525" spans="1:19" s="354" customFormat="1" ht="15.75" customHeight="1" x14ac:dyDescent="0.25">
      <c r="A525" s="106" t="s">
        <v>27</v>
      </c>
      <c r="B525" s="439" t="s">
        <v>28</v>
      </c>
      <c r="C525" s="440"/>
      <c r="D525" s="441"/>
      <c r="E525" s="99">
        <v>45</v>
      </c>
      <c r="F525" s="117">
        <f>2.26*E525/30</f>
        <v>3.3899999999999997</v>
      </c>
      <c r="G525" s="117">
        <f>0.23*E525/30</f>
        <v>0.34499999999999997</v>
      </c>
      <c r="H525" s="117">
        <f>14.66*E525/30</f>
        <v>21.990000000000002</v>
      </c>
      <c r="I525" s="117">
        <f>68.86*E525/30</f>
        <v>103.28999999999999</v>
      </c>
      <c r="J525" s="117">
        <v>0</v>
      </c>
      <c r="K525" s="117">
        <v>0</v>
      </c>
      <c r="L525" s="117">
        <v>0</v>
      </c>
      <c r="M525" s="117">
        <v>0</v>
      </c>
      <c r="N525" s="117">
        <f>12.97*E525/30</f>
        <v>19.454999999999998</v>
      </c>
      <c r="O525" s="117">
        <v>0</v>
      </c>
      <c r="P525" s="117">
        <f>2.83*E525/30</f>
        <v>4.2450000000000001</v>
      </c>
      <c r="Q525" s="117">
        <f>0.74*E525/30</f>
        <v>1.1099999999999999</v>
      </c>
      <c r="R525" s="17"/>
      <c r="S525" s="17"/>
    </row>
    <row r="526" spans="1:19" s="354" customFormat="1" ht="15.75" customHeight="1" x14ac:dyDescent="0.25">
      <c r="A526" s="106"/>
      <c r="B526" s="422" t="s">
        <v>65</v>
      </c>
      <c r="C526" s="423"/>
      <c r="D526" s="424"/>
      <c r="E526" s="100">
        <f t="shared" ref="E526:Q526" si="94">SUM(E517:E525)</f>
        <v>1136.5940000000001</v>
      </c>
      <c r="F526" s="117">
        <f t="shared" si="94"/>
        <v>57.929568500000002</v>
      </c>
      <c r="G526" s="117">
        <f t="shared" si="94"/>
        <v>42.477582099999999</v>
      </c>
      <c r="H526" s="117">
        <f t="shared" si="94"/>
        <v>179.46367790000002</v>
      </c>
      <c r="I526" s="117">
        <f t="shared" si="94"/>
        <v>1318.5335</v>
      </c>
      <c r="J526" s="117">
        <f t="shared" si="94"/>
        <v>0</v>
      </c>
      <c r="K526" s="117">
        <f t="shared" si="94"/>
        <v>28.206</v>
      </c>
      <c r="L526" s="117">
        <f t="shared" si="94"/>
        <v>0</v>
      </c>
      <c r="M526" s="117">
        <f t="shared" si="94"/>
        <v>0</v>
      </c>
      <c r="N526" s="117">
        <f t="shared" si="94"/>
        <v>237.25927089999999</v>
      </c>
      <c r="O526" s="117">
        <f t="shared" si="94"/>
        <v>0</v>
      </c>
      <c r="P526" s="117">
        <f t="shared" si="94"/>
        <v>281.37285079999998</v>
      </c>
      <c r="Q526" s="117">
        <f t="shared" si="94"/>
        <v>16.368023000000001</v>
      </c>
      <c r="R526" s="17"/>
      <c r="S526" s="17"/>
    </row>
    <row r="527" spans="1:19" s="354" customFormat="1" ht="15.75" customHeight="1" x14ac:dyDescent="0.25">
      <c r="A527" s="201"/>
      <c r="B527" s="445" t="s">
        <v>41</v>
      </c>
      <c r="C527" s="446"/>
      <c r="D527" s="447"/>
      <c r="E527" s="10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"/>
      <c r="S527" s="1"/>
    </row>
    <row r="528" spans="1:19" s="354" customFormat="1" ht="15.75" customHeight="1" x14ac:dyDescent="0.25">
      <c r="A528" s="115">
        <v>415</v>
      </c>
      <c r="B528" s="482" t="s">
        <v>66</v>
      </c>
      <c r="C528" s="440"/>
      <c r="D528" s="441"/>
      <c r="E528" s="95">
        <v>150</v>
      </c>
      <c r="F528" s="129">
        <v>3.67</v>
      </c>
      <c r="G528" s="129">
        <v>11.2</v>
      </c>
      <c r="H528" s="129">
        <v>31.4</v>
      </c>
      <c r="I528" s="129">
        <v>241.08</v>
      </c>
      <c r="J528" s="129">
        <v>0</v>
      </c>
      <c r="K528" s="129">
        <v>0</v>
      </c>
      <c r="L528" s="129">
        <v>0</v>
      </c>
      <c r="M528" s="129">
        <v>0</v>
      </c>
      <c r="N528" s="129">
        <v>19.399999999999999</v>
      </c>
      <c r="O528" s="129">
        <v>0</v>
      </c>
      <c r="P528" s="129">
        <v>24.4</v>
      </c>
      <c r="Q528" s="129">
        <v>1.28</v>
      </c>
      <c r="R528" s="29"/>
      <c r="S528" s="29"/>
    </row>
    <row r="529" spans="1:19" s="354" customFormat="1" ht="15.75" customHeight="1" x14ac:dyDescent="0.25">
      <c r="A529" s="115">
        <v>933</v>
      </c>
      <c r="B529" s="555" t="s">
        <v>116</v>
      </c>
      <c r="C529" s="440"/>
      <c r="D529" s="441"/>
      <c r="E529" s="349">
        <v>200</v>
      </c>
      <c r="F529" s="347">
        <v>0.45</v>
      </c>
      <c r="G529" s="347">
        <v>0</v>
      </c>
      <c r="H529" s="347">
        <v>23.84</v>
      </c>
      <c r="I529" s="347">
        <v>97.16</v>
      </c>
      <c r="J529" s="347">
        <v>3.0000000000000001E-3</v>
      </c>
      <c r="K529" s="347">
        <v>0.3</v>
      </c>
      <c r="L529" s="347">
        <v>0</v>
      </c>
      <c r="M529" s="347">
        <v>0</v>
      </c>
      <c r="N529" s="347">
        <v>16.95</v>
      </c>
      <c r="O529" s="347">
        <v>11.55</v>
      </c>
      <c r="P529" s="347">
        <v>9</v>
      </c>
      <c r="Q529" s="347">
        <v>2.7</v>
      </c>
      <c r="R529" s="29"/>
      <c r="S529" s="29"/>
    </row>
    <row r="530" spans="1:19" s="354" customFormat="1" ht="15.75" customHeight="1" x14ac:dyDescent="0.25">
      <c r="A530" s="106"/>
      <c r="B530" s="442" t="s">
        <v>86</v>
      </c>
      <c r="C530" s="472"/>
      <c r="D530" s="473"/>
      <c r="E530" s="106">
        <f>100+E529</f>
        <v>300</v>
      </c>
      <c r="F530" s="117">
        <f t="shared" ref="F530:Q530" si="95">SUM(F528:F529)</f>
        <v>4.12</v>
      </c>
      <c r="G530" s="117">
        <f t="shared" si="95"/>
        <v>11.2</v>
      </c>
      <c r="H530" s="117">
        <f t="shared" si="95"/>
        <v>55.239999999999995</v>
      </c>
      <c r="I530" s="117">
        <f t="shared" si="95"/>
        <v>338.24</v>
      </c>
      <c r="J530" s="117">
        <f t="shared" si="95"/>
        <v>3.0000000000000001E-3</v>
      </c>
      <c r="K530" s="117">
        <f t="shared" si="95"/>
        <v>0.3</v>
      </c>
      <c r="L530" s="117">
        <f t="shared" si="95"/>
        <v>0</v>
      </c>
      <c r="M530" s="117">
        <f t="shared" si="95"/>
        <v>0</v>
      </c>
      <c r="N530" s="117">
        <f t="shared" si="95"/>
        <v>36.349999999999994</v>
      </c>
      <c r="O530" s="117">
        <f t="shared" si="95"/>
        <v>11.55</v>
      </c>
      <c r="P530" s="117">
        <f t="shared" si="95"/>
        <v>33.4</v>
      </c>
      <c r="Q530" s="117">
        <f t="shared" si="95"/>
        <v>3.9800000000000004</v>
      </c>
      <c r="R530" s="17"/>
      <c r="S530" s="17"/>
    </row>
    <row r="531" spans="1:19" s="354" customFormat="1" ht="15.75" customHeight="1" x14ac:dyDescent="0.25">
      <c r="A531" s="201"/>
      <c r="B531" s="474" t="s">
        <v>44</v>
      </c>
      <c r="C531" s="446"/>
      <c r="D531" s="447"/>
      <c r="E531" s="10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"/>
      <c r="S531" s="1"/>
    </row>
    <row r="532" spans="1:19" s="359" customFormat="1" ht="15.75" customHeight="1" x14ac:dyDescent="0.25">
      <c r="A532" s="106">
        <v>52</v>
      </c>
      <c r="B532" s="486" t="s">
        <v>80</v>
      </c>
      <c r="C532" s="487"/>
      <c r="D532" s="488"/>
      <c r="E532" s="99">
        <v>100</v>
      </c>
      <c r="F532" s="117">
        <v>1.4</v>
      </c>
      <c r="G532" s="117">
        <v>6.01</v>
      </c>
      <c r="H532" s="117">
        <v>8.26</v>
      </c>
      <c r="I532" s="117">
        <v>22</v>
      </c>
      <c r="J532" s="117">
        <f>0*E532/100</f>
        <v>0</v>
      </c>
      <c r="K532" s="117">
        <v>17.5</v>
      </c>
      <c r="L532" s="117">
        <f>0*E532/100</f>
        <v>0</v>
      </c>
      <c r="M532" s="117">
        <f>0*E532/100</f>
        <v>0</v>
      </c>
      <c r="N532" s="117">
        <v>14</v>
      </c>
      <c r="O532" s="117">
        <f>0*E532/100</f>
        <v>0</v>
      </c>
      <c r="P532" s="117">
        <v>20</v>
      </c>
      <c r="Q532" s="117">
        <v>0.9</v>
      </c>
      <c r="R532" s="29"/>
      <c r="S532" s="29"/>
    </row>
    <row r="533" spans="1:19" s="354" customFormat="1" ht="15.75" customHeight="1" x14ac:dyDescent="0.25">
      <c r="A533" s="470">
        <v>295</v>
      </c>
      <c r="B533" s="475" t="s">
        <v>118</v>
      </c>
      <c r="C533" s="476"/>
      <c r="D533" s="477"/>
      <c r="E533" s="122">
        <v>120</v>
      </c>
      <c r="F533" s="470">
        <f>15.3*(E533+E534)/(100+10)</f>
        <v>18.360000000000003</v>
      </c>
      <c r="G533" s="470">
        <f>29.4*(E533+E534)/(100+10)</f>
        <v>35.279999999999994</v>
      </c>
      <c r="H533" s="470">
        <f>15.46*(E533+E534)/(100+10)</f>
        <v>18.552</v>
      </c>
      <c r="I533" s="470">
        <f>388*(E533+E534)/(100+10)</f>
        <v>465.6</v>
      </c>
      <c r="J533" s="470">
        <v>0</v>
      </c>
      <c r="K533" s="470">
        <f>1.04*(E533+E534)/(100+10)</f>
        <v>1.248</v>
      </c>
      <c r="L533" s="470">
        <v>0</v>
      </c>
      <c r="M533" s="470">
        <v>0</v>
      </c>
      <c r="N533" s="470">
        <f>55.54*(E533+E534)/(100+10)</f>
        <v>66.647999999999996</v>
      </c>
      <c r="O533" s="470">
        <v>0</v>
      </c>
      <c r="P533" s="470">
        <f>20.8*(E533+E534)/(100+10)</f>
        <v>24.96</v>
      </c>
      <c r="Q533" s="470">
        <f>1.42*(E533+E534)/(100+10)</f>
        <v>1.704</v>
      </c>
      <c r="R533" s="17"/>
      <c r="S533" s="17"/>
    </row>
    <row r="534" spans="1:19" s="354" customFormat="1" ht="15.75" customHeight="1" x14ac:dyDescent="0.25">
      <c r="A534" s="471"/>
      <c r="B534" s="478"/>
      <c r="C534" s="479"/>
      <c r="D534" s="480"/>
      <c r="E534" s="200">
        <f>E533*10/100</f>
        <v>12</v>
      </c>
      <c r="F534" s="471"/>
      <c r="G534" s="471"/>
      <c r="H534" s="471"/>
      <c r="I534" s="471"/>
      <c r="J534" s="471"/>
      <c r="K534" s="471"/>
      <c r="L534" s="471"/>
      <c r="M534" s="471"/>
      <c r="N534" s="471"/>
      <c r="O534" s="471"/>
      <c r="P534" s="471"/>
      <c r="Q534" s="471"/>
      <c r="R534" s="17"/>
      <c r="S534" s="17"/>
    </row>
    <row r="535" spans="1:19" s="354" customFormat="1" ht="15.75" customHeight="1" x14ac:dyDescent="0.25">
      <c r="A535" s="560">
        <v>171</v>
      </c>
      <c r="B535" s="539" t="s">
        <v>119</v>
      </c>
      <c r="C535" s="476"/>
      <c r="D535" s="477"/>
      <c r="E535" s="200">
        <v>200</v>
      </c>
      <c r="F535" s="481">
        <f>11.05*(E535+E536)/(190+10)</f>
        <v>11.63123</v>
      </c>
      <c r="G535" s="481">
        <f>11.93*(E535+E536)/(190+10)</f>
        <v>12.557518</v>
      </c>
      <c r="H535" s="481">
        <f>46.07*(E535+E536)/(190+10)</f>
        <v>48.493282000000001</v>
      </c>
      <c r="I535" s="481">
        <f>350*(E535+E536)/(190+10)</f>
        <v>368.41</v>
      </c>
      <c r="J535" s="481">
        <v>0</v>
      </c>
      <c r="K535" s="481">
        <v>0</v>
      </c>
      <c r="L535" s="481">
        <v>0</v>
      </c>
      <c r="M535" s="481">
        <v>0</v>
      </c>
      <c r="N535" s="481">
        <f>32.97*(E535+E536)/(190+10)</f>
        <v>34.704222000000001</v>
      </c>
      <c r="O535" s="481">
        <v>0</v>
      </c>
      <c r="P535" s="481">
        <f>175.64*(E535+E536)/(190+10)</f>
        <v>184.87866399999999</v>
      </c>
      <c r="Q535" s="481">
        <f>5.9*(E535+E536)/(190+10)</f>
        <v>6.2103400000000013</v>
      </c>
      <c r="R535" s="29"/>
      <c r="S535" s="29"/>
    </row>
    <row r="536" spans="1:19" s="354" customFormat="1" ht="14.25" customHeight="1" x14ac:dyDescent="0.25">
      <c r="A536" s="471"/>
      <c r="B536" s="478"/>
      <c r="C536" s="479"/>
      <c r="D536" s="480"/>
      <c r="E536" s="100">
        <f>E535*5.26/100</f>
        <v>10.52</v>
      </c>
      <c r="F536" s="471"/>
      <c r="G536" s="471"/>
      <c r="H536" s="471"/>
      <c r="I536" s="471"/>
      <c r="J536" s="471"/>
      <c r="K536" s="471"/>
      <c r="L536" s="471"/>
      <c r="M536" s="471"/>
      <c r="N536" s="471"/>
      <c r="O536" s="471"/>
      <c r="P536" s="471"/>
      <c r="Q536" s="471"/>
      <c r="R536" s="29"/>
      <c r="S536" s="29"/>
    </row>
    <row r="537" spans="1:19" s="354" customFormat="1" ht="15.75" customHeight="1" x14ac:dyDescent="0.25">
      <c r="A537" s="106">
        <v>389</v>
      </c>
      <c r="B537" s="540" t="s">
        <v>71</v>
      </c>
      <c r="C537" s="440"/>
      <c r="D537" s="441"/>
      <c r="E537" s="100">
        <v>200</v>
      </c>
      <c r="F537" s="117">
        <v>0.94</v>
      </c>
      <c r="G537" s="117" t="s">
        <v>35</v>
      </c>
      <c r="H537" s="117">
        <v>21.29</v>
      </c>
      <c r="I537" s="117">
        <v>88.92</v>
      </c>
      <c r="J537" s="117">
        <v>0.02</v>
      </c>
      <c r="K537" s="117">
        <v>4</v>
      </c>
      <c r="L537" s="117" t="s">
        <v>35</v>
      </c>
      <c r="M537" s="117" t="s">
        <v>35</v>
      </c>
      <c r="N537" s="117">
        <v>16</v>
      </c>
      <c r="O537" s="117">
        <v>18</v>
      </c>
      <c r="P537" s="117">
        <v>10</v>
      </c>
      <c r="Q537" s="117">
        <v>0.4</v>
      </c>
      <c r="R537" s="29"/>
      <c r="S537" s="29"/>
    </row>
    <row r="538" spans="1:19" s="354" customFormat="1" ht="15.75" customHeight="1" x14ac:dyDescent="0.25">
      <c r="A538" s="106" t="s">
        <v>27</v>
      </c>
      <c r="B538" s="41" t="s">
        <v>39</v>
      </c>
      <c r="C538" s="41"/>
      <c r="D538" s="41"/>
      <c r="E538" s="99">
        <v>75</v>
      </c>
      <c r="F538" s="117">
        <f>4.03*E538/50</f>
        <v>6.0449999999999999</v>
      </c>
      <c r="G538" s="117">
        <f>0.5*E538/50</f>
        <v>0.75</v>
      </c>
      <c r="H538" s="117">
        <f>22.36*E538/50</f>
        <v>33.54</v>
      </c>
      <c r="I538" s="117">
        <f>98.86*E538/50</f>
        <v>148.29</v>
      </c>
      <c r="J538" s="117">
        <v>0</v>
      </c>
      <c r="K538" s="117">
        <v>0</v>
      </c>
      <c r="L538" s="117">
        <v>0</v>
      </c>
      <c r="M538" s="117">
        <v>0</v>
      </c>
      <c r="N538" s="117">
        <f>17.59*E538/50</f>
        <v>26.385000000000002</v>
      </c>
      <c r="O538" s="117">
        <v>0</v>
      </c>
      <c r="P538" s="117">
        <f>1.89*E538/50</f>
        <v>2.835</v>
      </c>
      <c r="Q538" s="117">
        <f>0.88*E538/50</f>
        <v>1.32</v>
      </c>
      <c r="R538" s="17"/>
      <c r="S538" s="17"/>
    </row>
    <row r="539" spans="1:19" s="354" customFormat="1" ht="15.75" customHeight="1" x14ac:dyDescent="0.25">
      <c r="A539" s="106" t="s">
        <v>27</v>
      </c>
      <c r="B539" s="439" t="s">
        <v>28</v>
      </c>
      <c r="C539" s="440"/>
      <c r="D539" s="441"/>
      <c r="E539" s="99">
        <v>45</v>
      </c>
      <c r="F539" s="117">
        <v>3.0133333333333332</v>
      </c>
      <c r="G539" s="117">
        <v>0.3066666666666667</v>
      </c>
      <c r="H539" s="117">
        <v>19.546666666666667</v>
      </c>
      <c r="I539" s="117">
        <v>91.813333333333333</v>
      </c>
      <c r="J539" s="117">
        <v>0</v>
      </c>
      <c r="K539" s="117">
        <v>0</v>
      </c>
      <c r="L539" s="117">
        <v>0</v>
      </c>
      <c r="M539" s="117">
        <v>0</v>
      </c>
      <c r="N539" s="117">
        <v>17.293333333333337</v>
      </c>
      <c r="O539" s="117">
        <v>0</v>
      </c>
      <c r="P539" s="117">
        <v>3.7733333333333334</v>
      </c>
      <c r="Q539" s="117">
        <v>0.98666666666666669</v>
      </c>
      <c r="R539" s="17"/>
      <c r="S539" s="17"/>
    </row>
    <row r="540" spans="1:19" s="354" customFormat="1" ht="15.75" customHeight="1" x14ac:dyDescent="0.25">
      <c r="A540" s="106"/>
      <c r="B540" s="442" t="s">
        <v>72</v>
      </c>
      <c r="C540" s="472"/>
      <c r="D540" s="473"/>
      <c r="E540" s="99">
        <f t="shared" ref="E540:Q540" si="96">SUM(E532:E539)</f>
        <v>762.52</v>
      </c>
      <c r="F540" s="117">
        <f t="shared" si="96"/>
        <v>41.389563333333335</v>
      </c>
      <c r="G540" s="117">
        <f t="shared" si="96"/>
        <v>54.904184666666659</v>
      </c>
      <c r="H540" s="117">
        <f t="shared" si="96"/>
        <v>149.68194866666664</v>
      </c>
      <c r="I540" s="117">
        <f t="shared" si="96"/>
        <v>1185.0333333333333</v>
      </c>
      <c r="J540" s="117">
        <f t="shared" si="96"/>
        <v>0.02</v>
      </c>
      <c r="K540" s="117">
        <f t="shared" si="96"/>
        <v>22.748000000000001</v>
      </c>
      <c r="L540" s="117">
        <f t="shared" si="96"/>
        <v>0</v>
      </c>
      <c r="M540" s="117">
        <f t="shared" si="96"/>
        <v>0</v>
      </c>
      <c r="N540" s="117">
        <f t="shared" si="96"/>
        <v>175.03055533333333</v>
      </c>
      <c r="O540" s="117">
        <f t="shared" si="96"/>
        <v>18</v>
      </c>
      <c r="P540" s="117">
        <f t="shared" si="96"/>
        <v>246.44699733333334</v>
      </c>
      <c r="Q540" s="117">
        <f t="shared" si="96"/>
        <v>11.521006666666668</v>
      </c>
      <c r="R540" s="17"/>
      <c r="S540" s="17"/>
    </row>
    <row r="541" spans="1:19" s="354" customFormat="1" ht="15.75" customHeight="1" x14ac:dyDescent="0.25">
      <c r="A541" s="201"/>
      <c r="B541" s="474" t="s">
        <v>73</v>
      </c>
      <c r="C541" s="446"/>
      <c r="D541" s="447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"/>
      <c r="S541" s="1"/>
    </row>
    <row r="542" spans="1:19" s="354" customFormat="1" ht="15.75" customHeight="1" x14ac:dyDescent="0.25">
      <c r="A542" s="106">
        <v>386</v>
      </c>
      <c r="B542" s="41" t="s">
        <v>120</v>
      </c>
      <c r="C542" s="41"/>
      <c r="D542" s="41"/>
      <c r="E542" s="106">
        <v>200</v>
      </c>
      <c r="F542" s="106">
        <v>5.6</v>
      </c>
      <c r="G542" s="106">
        <v>5</v>
      </c>
      <c r="H542" s="106">
        <v>8.1999999999999993</v>
      </c>
      <c r="I542" s="106">
        <v>100.2</v>
      </c>
      <c r="J542" s="106">
        <v>0</v>
      </c>
      <c r="K542" s="106">
        <v>1.4</v>
      </c>
      <c r="L542" s="106">
        <v>0</v>
      </c>
      <c r="M542" s="106">
        <v>0</v>
      </c>
      <c r="N542" s="106">
        <v>240</v>
      </c>
      <c r="O542" s="106">
        <v>0</v>
      </c>
      <c r="P542" s="106">
        <v>28</v>
      </c>
      <c r="Q542" s="106">
        <v>0.2</v>
      </c>
      <c r="R542" s="29"/>
      <c r="S542" s="29"/>
    </row>
    <row r="543" spans="1:19" s="354" customFormat="1" ht="15" customHeight="1" x14ac:dyDescent="0.25">
      <c r="A543" s="115" t="s">
        <v>27</v>
      </c>
      <c r="B543" s="439" t="s">
        <v>51</v>
      </c>
      <c r="C543" s="440"/>
      <c r="D543" s="441"/>
      <c r="E543" s="115">
        <v>23</v>
      </c>
      <c r="F543" s="115" t="s">
        <v>121</v>
      </c>
      <c r="G543" s="115">
        <v>3.54</v>
      </c>
      <c r="H543" s="115">
        <v>7.08</v>
      </c>
      <c r="I543" s="115">
        <v>69</v>
      </c>
      <c r="J543" s="115">
        <v>4.4999999999999998E-2</v>
      </c>
      <c r="K543" s="115" t="s">
        <v>35</v>
      </c>
      <c r="L543" s="115" t="s">
        <v>35</v>
      </c>
      <c r="M543" s="115" t="s">
        <v>35</v>
      </c>
      <c r="N543" s="115">
        <v>5.5</v>
      </c>
      <c r="O543" s="115">
        <v>25</v>
      </c>
      <c r="P543" s="115" t="s">
        <v>35</v>
      </c>
      <c r="Q543" s="115">
        <v>1.05</v>
      </c>
      <c r="R543" s="29"/>
      <c r="S543" s="29"/>
    </row>
    <row r="544" spans="1:19" s="354" customFormat="1" ht="15.75" customHeight="1" x14ac:dyDescent="0.25">
      <c r="A544" s="106"/>
      <c r="B544" s="442" t="s">
        <v>52</v>
      </c>
      <c r="C544" s="472"/>
      <c r="D544" s="473"/>
      <c r="E544" s="26">
        <f t="shared" ref="E544:Q544" si="97">SUM(E542:E543)</f>
        <v>223</v>
      </c>
      <c r="F544" s="26">
        <f t="shared" si="97"/>
        <v>5.6</v>
      </c>
      <c r="G544" s="26">
        <f t="shared" si="97"/>
        <v>8.5399999999999991</v>
      </c>
      <c r="H544" s="26">
        <f t="shared" si="97"/>
        <v>15.28</v>
      </c>
      <c r="I544" s="26">
        <f t="shared" si="97"/>
        <v>169.2</v>
      </c>
      <c r="J544" s="26">
        <f t="shared" si="97"/>
        <v>4.4999999999999998E-2</v>
      </c>
      <c r="K544" s="26">
        <f t="shared" si="97"/>
        <v>1.4</v>
      </c>
      <c r="L544" s="26">
        <f t="shared" si="97"/>
        <v>0</v>
      </c>
      <c r="M544" s="26">
        <f t="shared" si="97"/>
        <v>0</v>
      </c>
      <c r="N544" s="26">
        <f t="shared" si="97"/>
        <v>245.5</v>
      </c>
      <c r="O544" s="26">
        <f t="shared" si="97"/>
        <v>25</v>
      </c>
      <c r="P544" s="26">
        <f t="shared" si="97"/>
        <v>28</v>
      </c>
      <c r="Q544" s="26">
        <f t="shared" si="97"/>
        <v>1.25</v>
      </c>
      <c r="R544" s="17"/>
      <c r="S544" s="17"/>
    </row>
    <row r="545" spans="1:19" s="354" customFormat="1" ht="15.75" customHeight="1" x14ac:dyDescent="0.25">
      <c r="A545" s="109"/>
      <c r="B545" s="436" t="s">
        <v>53</v>
      </c>
      <c r="C545" s="437"/>
      <c r="D545" s="438"/>
      <c r="E545" s="91">
        <v>8</v>
      </c>
      <c r="F545" s="144"/>
      <c r="G545" s="144"/>
      <c r="H545" s="144"/>
      <c r="I545" s="144"/>
      <c r="J545" s="144"/>
      <c r="K545" s="144"/>
      <c r="L545" s="144"/>
      <c r="M545" s="144"/>
      <c r="N545" s="144">
        <v>29.44</v>
      </c>
      <c r="O545" s="144"/>
      <c r="P545" s="144">
        <v>1.76</v>
      </c>
      <c r="Q545" s="144">
        <v>0.23</v>
      </c>
      <c r="R545" s="221"/>
      <c r="S545" s="221"/>
    </row>
    <row r="546" spans="1:19" s="354" customFormat="1" ht="15.75" customHeight="1" x14ac:dyDescent="0.25">
      <c r="A546" s="106"/>
      <c r="B546" s="442" t="s">
        <v>241</v>
      </c>
      <c r="C546" s="472"/>
      <c r="D546" s="473"/>
      <c r="E546" s="27">
        <f t="shared" ref="E546:M546" si="98">SUM(E512,E515,E526,E530,E540,E544)</f>
        <v>3357.114</v>
      </c>
      <c r="F546" s="22">
        <f t="shared" si="98"/>
        <v>127.92946516666666</v>
      </c>
      <c r="G546" s="22">
        <f t="shared" si="98"/>
        <v>140.10176676666666</v>
      </c>
      <c r="H546" s="22">
        <f t="shared" si="98"/>
        <v>499.14629323333332</v>
      </c>
      <c r="I546" s="22">
        <f t="shared" si="98"/>
        <v>3678.080833333333</v>
      </c>
      <c r="J546" s="22">
        <f t="shared" si="98"/>
        <v>0.10100000000000001</v>
      </c>
      <c r="K546" s="22">
        <f t="shared" si="98"/>
        <v>83.984000000000009</v>
      </c>
      <c r="L546" s="22">
        <f t="shared" si="98"/>
        <v>0.16800000000000001</v>
      </c>
      <c r="M546" s="22">
        <f t="shared" si="98"/>
        <v>0</v>
      </c>
      <c r="N546" s="22">
        <f>SUM(N512,N515,N526,N530,N540,N544,N545)</f>
        <v>1073.4408262333334</v>
      </c>
      <c r="O546" s="42">
        <f>SUM(O512,O515,O526,O530,O540,O544)</f>
        <v>143.35</v>
      </c>
      <c r="P546" s="22">
        <f>SUM(P512,P515,P526,P530,P540,P544)</f>
        <v>728.99084813333332</v>
      </c>
      <c r="Q546" s="22">
        <f>SUM(Q512,Q515,Q526,Q530,Q540,Q544)</f>
        <v>44.141029666666668</v>
      </c>
      <c r="R546" s="17"/>
      <c r="S546" s="17"/>
    </row>
    <row r="547" spans="1:19" s="354" customFormat="1" ht="15.75" customHeight="1" x14ac:dyDescent="0.25">
      <c r="A547" s="355"/>
      <c r="B547" s="43"/>
      <c r="C547" s="43"/>
      <c r="D547" s="43"/>
      <c r="E547" s="6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1"/>
      <c r="S547" s="1"/>
    </row>
    <row r="548" spans="1:19" s="354" customFormat="1" ht="24.75" customHeight="1" x14ac:dyDescent="0.25">
      <c r="A548" s="523" t="s">
        <v>199</v>
      </c>
      <c r="B548" s="524"/>
      <c r="C548" s="524"/>
      <c r="D548" s="524"/>
      <c r="E548" s="524"/>
      <c r="F548" s="524"/>
      <c r="G548" s="524"/>
      <c r="H548" s="524"/>
      <c r="I548" s="524"/>
      <c r="J548" s="524"/>
      <c r="K548" s="524"/>
      <c r="L548" s="524"/>
      <c r="M548" s="524"/>
      <c r="N548" s="524"/>
      <c r="O548" s="524"/>
      <c r="P548" s="524"/>
      <c r="Q548" s="524"/>
      <c r="R548" s="525"/>
      <c r="S548" s="1"/>
    </row>
    <row r="549" spans="1:19" s="354" customFormat="1" ht="15.75" customHeight="1" x14ac:dyDescent="0.25">
      <c r="A549" s="526" t="s">
        <v>3</v>
      </c>
      <c r="B549" s="766" t="s">
        <v>4</v>
      </c>
      <c r="C549" s="767"/>
      <c r="D549" s="768"/>
      <c r="E549" s="529" t="s">
        <v>5</v>
      </c>
      <c r="F549" s="530" t="s">
        <v>6</v>
      </c>
      <c r="G549" s="440"/>
      <c r="H549" s="441"/>
      <c r="I549" s="772" t="s">
        <v>7</v>
      </c>
      <c r="J549" s="530" t="s">
        <v>8</v>
      </c>
      <c r="K549" s="440"/>
      <c r="L549" s="440"/>
      <c r="M549" s="441"/>
      <c r="N549" s="343" t="s">
        <v>9</v>
      </c>
      <c r="O549" s="344"/>
      <c r="P549" s="344"/>
      <c r="Q549" s="345"/>
      <c r="R549" s="1"/>
      <c r="S549" s="1"/>
    </row>
    <row r="550" spans="1:19" s="354" customFormat="1" ht="32.25" customHeight="1" x14ac:dyDescent="0.25">
      <c r="A550" s="527"/>
      <c r="B550" s="769"/>
      <c r="C550" s="770"/>
      <c r="D550" s="771"/>
      <c r="E550" s="527"/>
      <c r="F550" s="33" t="s">
        <v>10</v>
      </c>
      <c r="G550" s="33" t="s">
        <v>11</v>
      </c>
      <c r="H550" s="33" t="s">
        <v>12</v>
      </c>
      <c r="I550" s="773"/>
      <c r="J550" s="34" t="s">
        <v>13</v>
      </c>
      <c r="K550" s="34" t="s">
        <v>14</v>
      </c>
      <c r="L550" s="34" t="s">
        <v>15</v>
      </c>
      <c r="M550" s="345" t="s">
        <v>16</v>
      </c>
      <c r="N550" s="36" t="s">
        <v>17</v>
      </c>
      <c r="O550" s="34" t="s">
        <v>18</v>
      </c>
      <c r="P550" s="34" t="s">
        <v>19</v>
      </c>
      <c r="Q550" s="345" t="s">
        <v>20</v>
      </c>
      <c r="R550" s="1"/>
      <c r="S550" s="1"/>
    </row>
    <row r="551" spans="1:19" s="354" customFormat="1" ht="15.75" customHeight="1" x14ac:dyDescent="0.25">
      <c r="A551" s="286">
        <v>1</v>
      </c>
      <c r="B551" s="562">
        <v>2</v>
      </c>
      <c r="C551" s="563"/>
      <c r="D551" s="564"/>
      <c r="E551" s="287">
        <v>3</v>
      </c>
      <c r="F551" s="287">
        <v>4</v>
      </c>
      <c r="G551" s="287">
        <v>5</v>
      </c>
      <c r="H551" s="287">
        <v>6</v>
      </c>
      <c r="I551" s="288">
        <v>7</v>
      </c>
      <c r="J551" s="287">
        <v>8</v>
      </c>
      <c r="K551" s="287">
        <v>9</v>
      </c>
      <c r="L551" s="287">
        <v>10</v>
      </c>
      <c r="M551" s="289">
        <v>11</v>
      </c>
      <c r="N551" s="287">
        <v>12</v>
      </c>
      <c r="O551" s="287">
        <v>13</v>
      </c>
      <c r="P551" s="287">
        <v>14</v>
      </c>
      <c r="Q551" s="290">
        <v>15</v>
      </c>
      <c r="R551" s="1"/>
      <c r="S551" s="1"/>
    </row>
    <row r="552" spans="1:19" s="354" customFormat="1" ht="15.75" customHeight="1" x14ac:dyDescent="0.25">
      <c r="A552" s="293"/>
      <c r="B552" s="565" t="s">
        <v>21</v>
      </c>
      <c r="C552" s="566"/>
      <c r="D552" s="567"/>
      <c r="E552" s="294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2"/>
      <c r="R552" s="1"/>
      <c r="S552" s="1"/>
    </row>
    <row r="553" spans="1:19" s="354" customFormat="1" ht="12" customHeight="1" x14ac:dyDescent="0.25">
      <c r="A553" s="490">
        <v>1</v>
      </c>
      <c r="B553" s="568" t="s">
        <v>124</v>
      </c>
      <c r="C553" s="569"/>
      <c r="D553" s="570"/>
      <c r="E553" s="400">
        <v>30</v>
      </c>
      <c r="F553" s="556">
        <v>5.8</v>
      </c>
      <c r="G553" s="556">
        <v>8.3000000000000007</v>
      </c>
      <c r="H553" s="556">
        <v>14.83</v>
      </c>
      <c r="I553" s="556">
        <v>157</v>
      </c>
      <c r="J553" s="556">
        <v>0.04</v>
      </c>
      <c r="K553" s="556">
        <v>0.04</v>
      </c>
      <c r="L553" s="556">
        <v>0.03</v>
      </c>
      <c r="M553" s="556">
        <v>0.11</v>
      </c>
      <c r="N553" s="556">
        <v>139.19999999999999</v>
      </c>
      <c r="O553" s="556">
        <v>9.4499999999999993</v>
      </c>
      <c r="P553" s="556">
        <v>96</v>
      </c>
      <c r="Q553" s="556">
        <v>0.49</v>
      </c>
      <c r="R553" s="29"/>
      <c r="S553" s="29"/>
    </row>
    <row r="554" spans="1:19" s="354" customFormat="1" ht="12" customHeight="1" x14ac:dyDescent="0.25">
      <c r="A554" s="471"/>
      <c r="B554" s="478"/>
      <c r="C554" s="479"/>
      <c r="D554" s="480"/>
      <c r="E554" s="401">
        <f>E553-10</f>
        <v>20</v>
      </c>
      <c r="F554" s="471"/>
      <c r="G554" s="471"/>
      <c r="H554" s="471"/>
      <c r="I554" s="471"/>
      <c r="J554" s="471"/>
      <c r="K554" s="471"/>
      <c r="L554" s="471"/>
      <c r="M554" s="471"/>
      <c r="N554" s="471"/>
      <c r="O554" s="471"/>
      <c r="P554" s="471"/>
      <c r="Q554" s="471"/>
      <c r="R554" s="18"/>
      <c r="S554" s="18"/>
    </row>
    <row r="555" spans="1:19" s="354" customFormat="1" ht="18.75" customHeight="1" x14ac:dyDescent="0.25">
      <c r="A555" s="102">
        <v>209</v>
      </c>
      <c r="B555" s="571" t="s">
        <v>25</v>
      </c>
      <c r="C555" s="440"/>
      <c r="D555" s="441"/>
      <c r="E555" s="402">
        <v>40</v>
      </c>
      <c r="F555" s="351">
        <v>5.72</v>
      </c>
      <c r="G555" s="351">
        <v>4.8499999999999996</v>
      </c>
      <c r="H555" s="351">
        <v>0.03</v>
      </c>
      <c r="I555" s="351">
        <v>66.650000000000006</v>
      </c>
      <c r="J555" s="351">
        <v>3.3000000000000002E-2</v>
      </c>
      <c r="K555" s="351" t="s">
        <v>35</v>
      </c>
      <c r="L555" s="351">
        <v>0.16800000000000001</v>
      </c>
      <c r="M555" s="351" t="s">
        <v>35</v>
      </c>
      <c r="N555" s="351">
        <v>26.4</v>
      </c>
      <c r="O555" s="351">
        <v>88.8</v>
      </c>
      <c r="P555" s="351">
        <v>25.42</v>
      </c>
      <c r="Q555" s="351">
        <v>1.29</v>
      </c>
      <c r="R555" s="18"/>
      <c r="S555" s="18"/>
    </row>
    <row r="556" spans="1:19" s="354" customFormat="1" ht="10.5" customHeight="1" x14ac:dyDescent="0.25">
      <c r="A556" s="546">
        <v>174</v>
      </c>
      <c r="B556" s="542" t="s">
        <v>24</v>
      </c>
      <c r="C556" s="476"/>
      <c r="D556" s="477"/>
      <c r="E556" s="403">
        <v>250</v>
      </c>
      <c r="F556" s="572">
        <f>6.11*E556/200</f>
        <v>7.6375000000000002</v>
      </c>
      <c r="G556" s="572">
        <f>10.72*E556/200</f>
        <v>13.4</v>
      </c>
      <c r="H556" s="572">
        <f>32.38*E556/200</f>
        <v>40.475000000000001</v>
      </c>
      <c r="I556" s="572">
        <f>251*E556/200</f>
        <v>313.75</v>
      </c>
      <c r="J556" s="572">
        <v>0</v>
      </c>
      <c r="K556" s="572">
        <f>1.17*E556/200</f>
        <v>1.4624999999999999</v>
      </c>
      <c r="L556" s="572">
        <v>0</v>
      </c>
      <c r="M556" s="572">
        <v>0</v>
      </c>
      <c r="N556" s="572">
        <f>133.77*E556/200</f>
        <v>167.21250000000001</v>
      </c>
      <c r="O556" s="572">
        <v>0</v>
      </c>
      <c r="P556" s="572">
        <f>20.3*E556/200</f>
        <v>25.375</v>
      </c>
      <c r="Q556" s="572">
        <v>0.47</v>
      </c>
      <c r="R556" s="18"/>
      <c r="S556" s="18"/>
    </row>
    <row r="557" spans="1:19" s="354" customFormat="1" ht="15.75" hidden="1" customHeight="1" x14ac:dyDescent="0.25">
      <c r="A557" s="573"/>
      <c r="B557" s="574"/>
      <c r="C557" s="575"/>
      <c r="D557" s="576"/>
      <c r="E557" s="401"/>
      <c r="F557" s="573"/>
      <c r="G557" s="573"/>
      <c r="H557" s="573"/>
      <c r="I557" s="573"/>
      <c r="J557" s="573"/>
      <c r="K557" s="573"/>
      <c r="L557" s="573"/>
      <c r="M557" s="573"/>
      <c r="N557" s="573"/>
      <c r="O557" s="573"/>
      <c r="P557" s="573"/>
      <c r="Q557" s="573"/>
      <c r="R557" s="17"/>
      <c r="S557" s="17"/>
    </row>
    <row r="558" spans="1:19" s="354" customFormat="1" ht="10.5" customHeight="1" x14ac:dyDescent="0.25">
      <c r="A558" s="471"/>
      <c r="B558" s="478"/>
      <c r="C558" s="479"/>
      <c r="D558" s="480"/>
      <c r="E558" s="242">
        <f>E556*4/100</f>
        <v>10</v>
      </c>
      <c r="F558" s="471"/>
      <c r="G558" s="471"/>
      <c r="H558" s="471"/>
      <c r="I558" s="471"/>
      <c r="J558" s="471"/>
      <c r="K558" s="471"/>
      <c r="L558" s="471"/>
      <c r="M558" s="471"/>
      <c r="N558" s="471"/>
      <c r="O558" s="471"/>
      <c r="P558" s="471"/>
      <c r="Q558" s="471"/>
      <c r="R558" s="19"/>
      <c r="S558" s="17"/>
    </row>
    <row r="559" spans="1:19" s="354" customFormat="1" ht="15.75" customHeight="1" x14ac:dyDescent="0.25">
      <c r="A559" s="106">
        <v>379</v>
      </c>
      <c r="B559" s="439" t="s">
        <v>26</v>
      </c>
      <c r="C559" s="440"/>
      <c r="D559" s="441"/>
      <c r="E559" s="313">
        <v>200</v>
      </c>
      <c r="F559" s="106">
        <v>3.58</v>
      </c>
      <c r="G559" s="106">
        <v>2.68</v>
      </c>
      <c r="H559" s="106">
        <v>28.34</v>
      </c>
      <c r="I559" s="106">
        <v>151.80000000000001</v>
      </c>
      <c r="J559" s="106">
        <v>0.02</v>
      </c>
      <c r="K559" s="106">
        <v>1.3</v>
      </c>
      <c r="L559" s="106">
        <v>0</v>
      </c>
      <c r="M559" s="106">
        <v>0</v>
      </c>
      <c r="N559" s="106">
        <v>125.78</v>
      </c>
      <c r="O559" s="106">
        <v>14</v>
      </c>
      <c r="P559" s="106">
        <v>14</v>
      </c>
      <c r="Q559" s="106">
        <v>0.13</v>
      </c>
      <c r="R559" s="17"/>
      <c r="S559" s="17"/>
    </row>
    <row r="560" spans="1:19" s="354" customFormat="1" ht="15.75" customHeight="1" x14ac:dyDescent="0.25">
      <c r="A560" s="106" t="s">
        <v>27</v>
      </c>
      <c r="B560" s="439" t="s">
        <v>28</v>
      </c>
      <c r="C560" s="440"/>
      <c r="D560" s="441"/>
      <c r="E560" s="401">
        <v>45</v>
      </c>
      <c r="F560" s="117">
        <f>2.26*E560/30</f>
        <v>3.3899999999999997</v>
      </c>
      <c r="G560" s="117">
        <f>0.23*E560/30</f>
        <v>0.34499999999999997</v>
      </c>
      <c r="H560" s="117">
        <f>14.66*E560/30</f>
        <v>21.990000000000002</v>
      </c>
      <c r="I560" s="117">
        <f>68.86*E560/30</f>
        <v>103.28999999999999</v>
      </c>
      <c r="J560" s="117">
        <v>0</v>
      </c>
      <c r="K560" s="117">
        <v>0</v>
      </c>
      <c r="L560" s="117">
        <v>0</v>
      </c>
      <c r="M560" s="117">
        <v>0</v>
      </c>
      <c r="N560" s="117">
        <f>12.97*E560/30</f>
        <v>19.454999999999998</v>
      </c>
      <c r="O560" s="117">
        <v>0</v>
      </c>
      <c r="P560" s="117">
        <f>2.83*E560/30</f>
        <v>4.2450000000000001</v>
      </c>
      <c r="Q560" s="117">
        <f>0.74*E560/30</f>
        <v>1.1099999999999999</v>
      </c>
      <c r="R560" s="17"/>
      <c r="S560" s="17"/>
    </row>
    <row r="561" spans="1:19" s="354" customFormat="1" ht="13.5" customHeight="1" x14ac:dyDescent="0.25">
      <c r="A561" s="106"/>
      <c r="B561" s="442" t="s">
        <v>29</v>
      </c>
      <c r="C561" s="443"/>
      <c r="D561" s="444"/>
      <c r="E561" s="401">
        <f>SUM(E556:E560)+200+15+7</f>
        <v>727</v>
      </c>
      <c r="F561" s="117">
        <f t="shared" ref="F561:Q561" si="99">SUM(F553:F560)</f>
        <v>26.127499999999998</v>
      </c>
      <c r="G561" s="117">
        <f t="shared" si="99"/>
        <v>29.574999999999999</v>
      </c>
      <c r="H561" s="117">
        <f t="shared" si="99"/>
        <v>105.66499999999999</v>
      </c>
      <c r="I561" s="117">
        <f t="shared" si="99"/>
        <v>792.49</v>
      </c>
      <c r="J561" s="117">
        <f t="shared" si="99"/>
        <v>9.3000000000000013E-2</v>
      </c>
      <c r="K561" s="117">
        <f t="shared" si="99"/>
        <v>2.8025000000000002</v>
      </c>
      <c r="L561" s="117">
        <f t="shared" si="99"/>
        <v>0.19800000000000001</v>
      </c>
      <c r="M561" s="117">
        <f t="shared" si="99"/>
        <v>0.11</v>
      </c>
      <c r="N561" s="117">
        <f t="shared" si="99"/>
        <v>478.04749999999996</v>
      </c>
      <c r="O561" s="117">
        <f t="shared" si="99"/>
        <v>112.25</v>
      </c>
      <c r="P561" s="117">
        <f t="shared" si="99"/>
        <v>165.04000000000002</v>
      </c>
      <c r="Q561" s="117">
        <f t="shared" si="99"/>
        <v>3.4899999999999998</v>
      </c>
      <c r="R561" s="17"/>
      <c r="S561" s="17"/>
    </row>
    <row r="562" spans="1:19" s="354" customFormat="1" ht="16.5" customHeight="1" x14ac:dyDescent="0.25">
      <c r="A562" s="201"/>
      <c r="B562" s="522" t="s">
        <v>30</v>
      </c>
      <c r="C562" s="446"/>
      <c r="D562" s="447"/>
      <c r="E562" s="313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"/>
      <c r="S562" s="1"/>
    </row>
    <row r="563" spans="1:19" s="354" customFormat="1" ht="15.75" customHeight="1" x14ac:dyDescent="0.25">
      <c r="A563" s="106">
        <v>338</v>
      </c>
      <c r="B563" s="439" t="s">
        <v>31</v>
      </c>
      <c r="C563" s="440"/>
      <c r="D563" s="441"/>
      <c r="E563" s="404">
        <v>300</v>
      </c>
      <c r="F563" s="133">
        <v>1.2</v>
      </c>
      <c r="G563" s="134">
        <v>1.2</v>
      </c>
      <c r="H563" s="133">
        <v>29.4</v>
      </c>
      <c r="I563" s="133">
        <v>132</v>
      </c>
      <c r="J563" s="133">
        <v>0</v>
      </c>
      <c r="K563" s="133">
        <v>30</v>
      </c>
      <c r="L563" s="133">
        <v>0</v>
      </c>
      <c r="M563" s="133">
        <v>0</v>
      </c>
      <c r="N563" s="133">
        <v>48</v>
      </c>
      <c r="O563" s="133">
        <v>0</v>
      </c>
      <c r="P563" s="133">
        <v>27</v>
      </c>
      <c r="Q563" s="133">
        <v>6.6</v>
      </c>
      <c r="R563" s="29"/>
      <c r="S563" s="29"/>
    </row>
    <row r="564" spans="1:19" s="354" customFormat="1" ht="15.75" customHeight="1" x14ac:dyDescent="0.25">
      <c r="A564" s="106"/>
      <c r="B564" s="442" t="s">
        <v>112</v>
      </c>
      <c r="C564" s="443"/>
      <c r="D564" s="444"/>
      <c r="E564" s="313">
        <f>E563</f>
        <v>300</v>
      </c>
      <c r="F564" s="106">
        <f t="shared" ref="F564:Q564" si="100">SUM(F563)</f>
        <v>1.2</v>
      </c>
      <c r="G564" s="132">
        <f t="shared" si="100"/>
        <v>1.2</v>
      </c>
      <c r="H564" s="106">
        <f t="shared" si="100"/>
        <v>29.4</v>
      </c>
      <c r="I564" s="106">
        <f t="shared" si="100"/>
        <v>132</v>
      </c>
      <c r="J564" s="106">
        <f t="shared" si="100"/>
        <v>0</v>
      </c>
      <c r="K564" s="106">
        <f t="shared" si="100"/>
        <v>30</v>
      </c>
      <c r="L564" s="106">
        <f t="shared" si="100"/>
        <v>0</v>
      </c>
      <c r="M564" s="106">
        <f t="shared" si="100"/>
        <v>0</v>
      </c>
      <c r="N564" s="106">
        <f t="shared" si="100"/>
        <v>48</v>
      </c>
      <c r="O564" s="106">
        <f t="shared" si="100"/>
        <v>0</v>
      </c>
      <c r="P564" s="106">
        <f t="shared" si="100"/>
        <v>27</v>
      </c>
      <c r="Q564" s="106">
        <f t="shared" si="100"/>
        <v>6.6</v>
      </c>
      <c r="R564" s="17"/>
      <c r="S564" s="17"/>
    </row>
    <row r="565" spans="1:19" s="354" customFormat="1" ht="15.75" customHeight="1" x14ac:dyDescent="0.25">
      <c r="A565" s="201"/>
      <c r="B565" s="522" t="s">
        <v>33</v>
      </c>
      <c r="C565" s="446"/>
      <c r="D565" s="447"/>
      <c r="E565" s="313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"/>
      <c r="S565" s="1"/>
    </row>
    <row r="566" spans="1:19" s="359" customFormat="1" ht="15.75" customHeight="1" x14ac:dyDescent="0.25">
      <c r="A566" s="106">
        <v>67</v>
      </c>
      <c r="B566" s="436" t="s">
        <v>227</v>
      </c>
      <c r="C566" s="440"/>
      <c r="D566" s="441"/>
      <c r="E566" s="401">
        <v>100</v>
      </c>
      <c r="F566" s="117">
        <v>1.4</v>
      </c>
      <c r="G566" s="117">
        <v>10.039999999999999</v>
      </c>
      <c r="H566" s="117">
        <v>7.29</v>
      </c>
      <c r="I566" s="117">
        <v>125.1</v>
      </c>
      <c r="J566" s="117">
        <f>0*E566/100</f>
        <v>0</v>
      </c>
      <c r="K566" s="117">
        <f>10*E566/100</f>
        <v>10</v>
      </c>
      <c r="L566" s="117">
        <f>0*E566/100</f>
        <v>0</v>
      </c>
      <c r="M566" s="117">
        <f>0*E566/100</f>
        <v>0</v>
      </c>
      <c r="N566" s="117">
        <v>31.2</v>
      </c>
      <c r="O566" s="117">
        <f>0*E566/100</f>
        <v>0</v>
      </c>
      <c r="P566" s="117">
        <v>19.5</v>
      </c>
      <c r="Q566" s="117">
        <v>0.82</v>
      </c>
      <c r="R566" s="29"/>
      <c r="S566" s="29"/>
    </row>
    <row r="567" spans="1:19" s="354" customFormat="1" ht="20.25" customHeight="1" x14ac:dyDescent="0.25">
      <c r="A567" s="106">
        <v>103</v>
      </c>
      <c r="B567" s="544" t="s">
        <v>125</v>
      </c>
      <c r="C567" s="440"/>
      <c r="D567" s="441"/>
      <c r="E567" s="392">
        <v>250</v>
      </c>
      <c r="F567" s="200">
        <f>2.86*E567/250</f>
        <v>2.86</v>
      </c>
      <c r="G567" s="200">
        <f>3.08*E567/250</f>
        <v>3.08</v>
      </c>
      <c r="H567" s="200">
        <f>16.83*E567/250</f>
        <v>16.829999999999998</v>
      </c>
      <c r="I567" s="200">
        <f>350.4*E567/250</f>
        <v>350.4</v>
      </c>
      <c r="J567" s="200" t="s">
        <v>35</v>
      </c>
      <c r="K567" s="200">
        <f>8.25*E567/250</f>
        <v>8.25</v>
      </c>
      <c r="L567" s="200">
        <v>0</v>
      </c>
      <c r="M567" s="200">
        <v>0</v>
      </c>
      <c r="N567" s="200">
        <f>26.73*E567/250</f>
        <v>26.73</v>
      </c>
      <c r="O567" s="200">
        <v>0</v>
      </c>
      <c r="P567" s="200">
        <f>26.96*E567/250</f>
        <v>26.96</v>
      </c>
      <c r="Q567" s="200">
        <f>1.1*E567/250</f>
        <v>1.1000000000000001</v>
      </c>
      <c r="R567" s="17"/>
      <c r="S567" s="17"/>
    </row>
    <row r="568" spans="1:19" s="354" customFormat="1" ht="10.5" customHeight="1" x14ac:dyDescent="0.25">
      <c r="A568" s="577">
        <v>171</v>
      </c>
      <c r="B568" s="579" t="s">
        <v>126</v>
      </c>
      <c r="C568" s="580"/>
      <c r="D568" s="581"/>
      <c r="E568" s="405">
        <v>200</v>
      </c>
      <c r="F568" s="561">
        <f>11.2*E568/200</f>
        <v>11.2</v>
      </c>
      <c r="G568" s="561">
        <v>11.93</v>
      </c>
      <c r="H568" s="561">
        <f>55.7*E568/200</f>
        <v>55.7</v>
      </c>
      <c r="I568" s="561">
        <f>350.4*E568/200</f>
        <v>350.4</v>
      </c>
      <c r="J568" s="561">
        <v>0</v>
      </c>
      <c r="K568" s="561">
        <v>0</v>
      </c>
      <c r="L568" s="561">
        <v>0</v>
      </c>
      <c r="M568" s="561">
        <v>0</v>
      </c>
      <c r="N568" s="561">
        <v>32.97</v>
      </c>
      <c r="O568" s="561">
        <v>0</v>
      </c>
      <c r="P568" s="561">
        <v>175.64</v>
      </c>
      <c r="Q568" s="561">
        <v>5.9</v>
      </c>
      <c r="R568" s="17"/>
      <c r="S568" s="17"/>
    </row>
    <row r="569" spans="1:19" s="354" customFormat="1" ht="10.5" customHeight="1" x14ac:dyDescent="0.25">
      <c r="A569" s="578"/>
      <c r="B569" s="582"/>
      <c r="C569" s="583"/>
      <c r="D569" s="584"/>
      <c r="E569" s="405">
        <v>7</v>
      </c>
      <c r="F569" s="471"/>
      <c r="G569" s="471"/>
      <c r="H569" s="471"/>
      <c r="I569" s="471"/>
      <c r="J569" s="471"/>
      <c r="K569" s="471"/>
      <c r="L569" s="471"/>
      <c r="M569" s="471"/>
      <c r="N569" s="471"/>
      <c r="O569" s="471"/>
      <c r="P569" s="471"/>
      <c r="Q569" s="471"/>
      <c r="R569" s="17"/>
      <c r="S569" s="17"/>
    </row>
    <row r="570" spans="1:19" s="354" customFormat="1" ht="18.75" customHeight="1" x14ac:dyDescent="0.25">
      <c r="A570" s="106">
        <v>241</v>
      </c>
      <c r="B570" s="544" t="s">
        <v>127</v>
      </c>
      <c r="C570" s="440"/>
      <c r="D570" s="441"/>
      <c r="E570" s="122">
        <v>120</v>
      </c>
      <c r="F570" s="106">
        <f>21.35*E570/100</f>
        <v>25.62</v>
      </c>
      <c r="G570" s="106">
        <f>20.43*E570/100</f>
        <v>24.515999999999998</v>
      </c>
      <c r="H570" s="106">
        <f>0.5*E570/100</f>
        <v>0.6</v>
      </c>
      <c r="I570" s="106">
        <f>271.3*E570/100</f>
        <v>325.56</v>
      </c>
      <c r="J570" s="106">
        <v>0</v>
      </c>
      <c r="K570" s="106">
        <f>0.02*E570/100</f>
        <v>2.4E-2</v>
      </c>
      <c r="L570" s="106">
        <v>0</v>
      </c>
      <c r="M570" s="106">
        <v>0</v>
      </c>
      <c r="N570" s="106">
        <f>43.48*E570/100</f>
        <v>52.175999999999995</v>
      </c>
      <c r="O570" s="106">
        <v>0</v>
      </c>
      <c r="P570" s="106">
        <f>28.93*E570/100</f>
        <v>34.716000000000001</v>
      </c>
      <c r="Q570" s="106">
        <f>3.48*E570/100</f>
        <v>4.1760000000000002</v>
      </c>
      <c r="R570" s="17"/>
      <c r="S570" s="17"/>
    </row>
    <row r="571" spans="1:19" s="354" customFormat="1" ht="15.75" customHeight="1" x14ac:dyDescent="0.25">
      <c r="A571" s="106">
        <v>331</v>
      </c>
      <c r="B571" s="585" t="s">
        <v>128</v>
      </c>
      <c r="C571" s="440"/>
      <c r="D571" s="441"/>
      <c r="E571" s="100">
        <v>50</v>
      </c>
      <c r="F571" s="117">
        <f>0.88*E571/100</f>
        <v>0.44</v>
      </c>
      <c r="G571" s="117">
        <f>11.07*E571/100</f>
        <v>5.5350000000000001</v>
      </c>
      <c r="H571" s="117">
        <f>3.78*E571/100</f>
        <v>1.89</v>
      </c>
      <c r="I571" s="117">
        <f>118.13*E571/100</f>
        <v>59.064999999999998</v>
      </c>
      <c r="J571" s="117"/>
      <c r="K571" s="117">
        <f>1.42*E571/100</f>
        <v>0.71</v>
      </c>
      <c r="L571" s="117"/>
      <c r="M571" s="117"/>
      <c r="N571" s="117">
        <f>24.91*E571/100</f>
        <v>12.455</v>
      </c>
      <c r="O571" s="117"/>
      <c r="P571" s="117">
        <f>7.7*E571/100</f>
        <v>3.85</v>
      </c>
      <c r="Q571" s="117">
        <f>0.27*E571/100</f>
        <v>0.13500000000000001</v>
      </c>
      <c r="R571" s="17"/>
      <c r="S571" s="17"/>
    </row>
    <row r="572" spans="1:19" s="354" customFormat="1" ht="15.75" customHeight="1" x14ac:dyDescent="0.25">
      <c r="A572" s="106">
        <v>349</v>
      </c>
      <c r="B572" s="540" t="s">
        <v>38</v>
      </c>
      <c r="C572" s="440"/>
      <c r="D572" s="441"/>
      <c r="E572" s="100">
        <v>200</v>
      </c>
      <c r="F572" s="117">
        <v>0.66</v>
      </c>
      <c r="G572" s="117">
        <v>0.09</v>
      </c>
      <c r="H572" s="117">
        <v>32.1</v>
      </c>
      <c r="I572" s="117">
        <v>133</v>
      </c>
      <c r="J572" s="117">
        <v>0</v>
      </c>
      <c r="K572" s="117">
        <v>0.02</v>
      </c>
      <c r="L572" s="117">
        <v>0.73</v>
      </c>
      <c r="M572" s="117">
        <v>0.51</v>
      </c>
      <c r="N572" s="117">
        <v>14</v>
      </c>
      <c r="O572" s="117">
        <v>229.8</v>
      </c>
      <c r="P572" s="117">
        <v>32.479999999999997</v>
      </c>
      <c r="Q572" s="117">
        <v>0.51</v>
      </c>
      <c r="R572" s="29"/>
      <c r="S572" s="29"/>
    </row>
    <row r="573" spans="1:19" s="354" customFormat="1" ht="15.75" customHeight="1" x14ac:dyDescent="0.25">
      <c r="A573" s="106" t="s">
        <v>27</v>
      </c>
      <c r="B573" s="41" t="s">
        <v>39</v>
      </c>
      <c r="C573" s="41"/>
      <c r="D573" s="41"/>
      <c r="E573" s="99">
        <v>120</v>
      </c>
      <c r="F573" s="117">
        <f>4.03*E573/50</f>
        <v>9.6720000000000006</v>
      </c>
      <c r="G573" s="117">
        <f>0.5*E573/50</f>
        <v>1.2</v>
      </c>
      <c r="H573" s="117">
        <f>22.36*E573/50</f>
        <v>53.663999999999994</v>
      </c>
      <c r="I573" s="117">
        <f>98.86*E573/50</f>
        <v>237.26400000000001</v>
      </c>
      <c r="J573" s="117">
        <v>0</v>
      </c>
      <c r="K573" s="117">
        <v>0</v>
      </c>
      <c r="L573" s="117">
        <v>0</v>
      </c>
      <c r="M573" s="117">
        <v>0</v>
      </c>
      <c r="N573" s="117">
        <f>17.59*E573/50</f>
        <v>42.216000000000001</v>
      </c>
      <c r="O573" s="117">
        <v>0</v>
      </c>
      <c r="P573" s="117">
        <f>1.89*E573/50</f>
        <v>4.5359999999999996</v>
      </c>
      <c r="Q573" s="117">
        <f>0.88*E573/50</f>
        <v>2.1120000000000001</v>
      </c>
      <c r="R573" s="17"/>
      <c r="S573" s="17"/>
    </row>
    <row r="574" spans="1:19" s="354" customFormat="1" ht="15.75" customHeight="1" x14ac:dyDescent="0.25">
      <c r="A574" s="106" t="s">
        <v>27</v>
      </c>
      <c r="B574" s="439" t="s">
        <v>28</v>
      </c>
      <c r="C574" s="440"/>
      <c r="D574" s="441"/>
      <c r="E574" s="99">
        <v>45</v>
      </c>
      <c r="F574" s="117">
        <f>2.26*E574/30</f>
        <v>3.3899999999999997</v>
      </c>
      <c r="G574" s="117">
        <f>0.23*E574/30</f>
        <v>0.34499999999999997</v>
      </c>
      <c r="H574" s="117">
        <f>14.66*E574/30</f>
        <v>21.990000000000002</v>
      </c>
      <c r="I574" s="117">
        <f>68.86*E574/30</f>
        <v>103.28999999999999</v>
      </c>
      <c r="J574" s="117">
        <v>0</v>
      </c>
      <c r="K574" s="117">
        <v>0</v>
      </c>
      <c r="L574" s="117">
        <v>0</v>
      </c>
      <c r="M574" s="117">
        <v>0</v>
      </c>
      <c r="N574" s="117">
        <f>12.97*E574/30</f>
        <v>19.454999999999998</v>
      </c>
      <c r="O574" s="117">
        <v>0</v>
      </c>
      <c r="P574" s="117">
        <f>2.83*E574/30</f>
        <v>4.2450000000000001</v>
      </c>
      <c r="Q574" s="117">
        <f>0.74*E574/30</f>
        <v>1.1099999999999999</v>
      </c>
      <c r="R574" s="17"/>
      <c r="S574" s="17"/>
    </row>
    <row r="575" spans="1:19" s="354" customFormat="1" ht="16.5" customHeight="1" thickBot="1" x14ac:dyDescent="0.3">
      <c r="A575" s="106"/>
      <c r="B575" s="586" t="s">
        <v>65</v>
      </c>
      <c r="C575" s="587"/>
      <c r="D575" s="588"/>
      <c r="E575" s="100">
        <f t="shared" ref="E575:Q575" si="101">SUM(E566:E574)</f>
        <v>1092</v>
      </c>
      <c r="F575" s="117">
        <f t="shared" si="101"/>
        <v>55.24199999999999</v>
      </c>
      <c r="G575" s="117">
        <f t="shared" si="101"/>
        <v>56.736000000000004</v>
      </c>
      <c r="H575" s="117">
        <f t="shared" si="101"/>
        <v>190.06399999999999</v>
      </c>
      <c r="I575" s="117">
        <f t="shared" si="101"/>
        <v>1684.0790000000002</v>
      </c>
      <c r="J575" s="117">
        <f t="shared" si="101"/>
        <v>0</v>
      </c>
      <c r="K575" s="117">
        <f t="shared" si="101"/>
        <v>19.004000000000001</v>
      </c>
      <c r="L575" s="117">
        <f t="shared" si="101"/>
        <v>0.73</v>
      </c>
      <c r="M575" s="117">
        <f t="shared" si="101"/>
        <v>0.51</v>
      </c>
      <c r="N575" s="117">
        <f t="shared" si="101"/>
        <v>231.202</v>
      </c>
      <c r="O575" s="117">
        <f t="shared" si="101"/>
        <v>229.8</v>
      </c>
      <c r="P575" s="117">
        <f t="shared" si="101"/>
        <v>301.92700000000002</v>
      </c>
      <c r="Q575" s="117">
        <f t="shared" si="101"/>
        <v>15.863</v>
      </c>
      <c r="R575" s="29"/>
      <c r="S575" s="29"/>
    </row>
    <row r="576" spans="1:19" s="354" customFormat="1" ht="17.25" customHeight="1" thickTop="1" thickBot="1" x14ac:dyDescent="0.3">
      <c r="A576" s="201"/>
      <c r="B576" s="589" t="s">
        <v>129</v>
      </c>
      <c r="C576" s="590"/>
      <c r="D576" s="591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"/>
      <c r="S576" s="1"/>
    </row>
    <row r="577" spans="1:19" s="354" customFormat="1" ht="18" customHeight="1" thickTop="1" x14ac:dyDescent="0.25">
      <c r="A577" s="106" t="s">
        <v>27</v>
      </c>
      <c r="B577" s="436" t="s">
        <v>51</v>
      </c>
      <c r="C577" s="440"/>
      <c r="D577" s="441"/>
      <c r="E577" s="102">
        <v>23</v>
      </c>
      <c r="F577" s="102">
        <v>1.25</v>
      </c>
      <c r="G577" s="102">
        <v>1.48</v>
      </c>
      <c r="H577" s="102">
        <v>34.89</v>
      </c>
      <c r="I577" s="102">
        <v>160.75</v>
      </c>
      <c r="J577" s="102">
        <v>0</v>
      </c>
      <c r="K577" s="102">
        <v>0.1</v>
      </c>
      <c r="L577" s="102">
        <v>0</v>
      </c>
      <c r="M577" s="102">
        <v>0</v>
      </c>
      <c r="N577" s="102">
        <v>6.8</v>
      </c>
      <c r="O577" s="102">
        <v>0</v>
      </c>
      <c r="P577" s="102">
        <v>4.53</v>
      </c>
      <c r="Q577" s="102">
        <v>0.9</v>
      </c>
      <c r="R577" s="39"/>
      <c r="S577" s="39"/>
    </row>
    <row r="578" spans="1:19" s="354" customFormat="1" ht="15.75" customHeight="1" x14ac:dyDescent="0.25">
      <c r="A578" s="102">
        <v>342</v>
      </c>
      <c r="B578" s="555" t="s">
        <v>38</v>
      </c>
      <c r="C578" s="440"/>
      <c r="D578" s="441"/>
      <c r="E578" s="199">
        <v>200</v>
      </c>
      <c r="F578" s="196">
        <v>0.08</v>
      </c>
      <c r="G578" s="196">
        <v>0</v>
      </c>
      <c r="H578" s="196">
        <v>21.82</v>
      </c>
      <c r="I578" s="196">
        <v>87.6</v>
      </c>
      <c r="J578" s="196">
        <v>0</v>
      </c>
      <c r="K578" s="196">
        <v>2.25</v>
      </c>
      <c r="L578" s="196">
        <v>0</v>
      </c>
      <c r="M578" s="196">
        <v>0</v>
      </c>
      <c r="N578" s="196">
        <v>17</v>
      </c>
      <c r="O578" s="196">
        <v>0</v>
      </c>
      <c r="P578" s="196">
        <v>9</v>
      </c>
      <c r="Q578" s="196">
        <v>2.2000000000000002</v>
      </c>
      <c r="R578" s="39"/>
      <c r="S578" s="39"/>
    </row>
    <row r="579" spans="1:19" s="354" customFormat="1" ht="17.25" customHeight="1" x14ac:dyDescent="0.25">
      <c r="A579" s="102"/>
      <c r="B579" s="592" t="s">
        <v>86</v>
      </c>
      <c r="C579" s="440"/>
      <c r="D579" s="441"/>
      <c r="E579" s="102">
        <f t="shared" ref="E579:Q579" si="102">SUM(E577:E578)</f>
        <v>223</v>
      </c>
      <c r="F579" s="102">
        <f t="shared" si="102"/>
        <v>1.33</v>
      </c>
      <c r="G579" s="102">
        <f t="shared" si="102"/>
        <v>1.48</v>
      </c>
      <c r="H579" s="102">
        <f t="shared" si="102"/>
        <v>56.71</v>
      </c>
      <c r="I579" s="102">
        <f t="shared" si="102"/>
        <v>248.35</v>
      </c>
      <c r="J579" s="102">
        <f t="shared" si="102"/>
        <v>0</v>
      </c>
      <c r="K579" s="102">
        <f t="shared" si="102"/>
        <v>2.35</v>
      </c>
      <c r="L579" s="102">
        <f t="shared" si="102"/>
        <v>0</v>
      </c>
      <c r="M579" s="102">
        <f t="shared" si="102"/>
        <v>0</v>
      </c>
      <c r="N579" s="102">
        <f t="shared" si="102"/>
        <v>23.8</v>
      </c>
      <c r="O579" s="102">
        <f t="shared" si="102"/>
        <v>0</v>
      </c>
      <c r="P579" s="102">
        <f t="shared" si="102"/>
        <v>13.530000000000001</v>
      </c>
      <c r="Q579" s="102">
        <f t="shared" si="102"/>
        <v>3.1</v>
      </c>
      <c r="R579" s="18"/>
      <c r="S579" s="18"/>
    </row>
    <row r="580" spans="1:19" s="354" customFormat="1" ht="15.75" customHeight="1" x14ac:dyDescent="0.25">
      <c r="A580" s="201"/>
      <c r="B580" s="474" t="s">
        <v>44</v>
      </c>
      <c r="C580" s="446"/>
      <c r="D580" s="447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"/>
      <c r="S580" s="1"/>
    </row>
    <row r="581" spans="1:19" s="354" customFormat="1" ht="15.75" customHeight="1" x14ac:dyDescent="0.25">
      <c r="A581" s="106">
        <v>52</v>
      </c>
      <c r="B581" s="448" t="s">
        <v>80</v>
      </c>
      <c r="C581" s="440"/>
      <c r="D581" s="441"/>
      <c r="E581" s="122">
        <v>120</v>
      </c>
      <c r="F581" s="106">
        <v>8.1300000000000008</v>
      </c>
      <c r="G581" s="106">
        <v>10.32</v>
      </c>
      <c r="H581" s="106">
        <v>13</v>
      </c>
      <c r="I581" s="106">
        <v>184.99</v>
      </c>
      <c r="J581" s="106">
        <v>0</v>
      </c>
      <c r="K581" s="106">
        <v>24.84</v>
      </c>
      <c r="L581" s="106">
        <v>0</v>
      </c>
      <c r="M581" s="106">
        <v>0</v>
      </c>
      <c r="N581" s="106">
        <v>81.510000000000005</v>
      </c>
      <c r="O581" s="106">
        <v>0</v>
      </c>
      <c r="P581" s="106">
        <v>32.549999999999997</v>
      </c>
      <c r="Q581" s="106">
        <v>1.28</v>
      </c>
      <c r="R581" s="19"/>
      <c r="S581" s="17"/>
    </row>
    <row r="582" spans="1:19" s="354" customFormat="1" ht="10.5" customHeight="1" x14ac:dyDescent="0.25">
      <c r="A582" s="470">
        <v>259</v>
      </c>
      <c r="B582" s="539" t="s">
        <v>131</v>
      </c>
      <c r="C582" s="476"/>
      <c r="D582" s="477"/>
      <c r="E582" s="393">
        <v>120</v>
      </c>
      <c r="F582" s="470">
        <v>20.8</v>
      </c>
      <c r="G582" s="470">
        <v>20.2</v>
      </c>
      <c r="H582" s="470">
        <v>28</v>
      </c>
      <c r="I582" s="470">
        <v>375.2</v>
      </c>
      <c r="J582" s="470">
        <v>0</v>
      </c>
      <c r="K582" s="470">
        <v>34</v>
      </c>
      <c r="L582" s="470">
        <v>0</v>
      </c>
      <c r="M582" s="470">
        <v>0</v>
      </c>
      <c r="N582" s="470">
        <v>28.1</v>
      </c>
      <c r="O582" s="470">
        <v>0</v>
      </c>
      <c r="P582" s="470">
        <v>52.5</v>
      </c>
      <c r="Q582" s="470">
        <v>3.26</v>
      </c>
      <c r="R582" s="67"/>
      <c r="S582" s="29"/>
    </row>
    <row r="583" spans="1:19" s="354" customFormat="1" ht="9.75" customHeight="1" x14ac:dyDescent="0.25">
      <c r="A583" s="471"/>
      <c r="B583" s="478"/>
      <c r="C583" s="479"/>
      <c r="D583" s="480"/>
      <c r="E583" s="395">
        <v>200</v>
      </c>
      <c r="F583" s="471"/>
      <c r="G583" s="471"/>
      <c r="H583" s="471"/>
      <c r="I583" s="471"/>
      <c r="J583" s="471"/>
      <c r="K583" s="471"/>
      <c r="L583" s="471"/>
      <c r="M583" s="471"/>
      <c r="N583" s="471"/>
      <c r="O583" s="471"/>
      <c r="P583" s="471"/>
      <c r="Q583" s="471"/>
      <c r="R583" s="29"/>
      <c r="S583" s="29"/>
    </row>
    <row r="584" spans="1:19" s="354" customFormat="1" ht="15.75" customHeight="1" x14ac:dyDescent="0.25">
      <c r="A584" s="106">
        <v>389</v>
      </c>
      <c r="B584" s="540" t="s">
        <v>132</v>
      </c>
      <c r="C584" s="440"/>
      <c r="D584" s="441"/>
      <c r="E584" s="100">
        <v>200</v>
      </c>
      <c r="F584" s="117">
        <v>1</v>
      </c>
      <c r="G584" s="117">
        <v>0</v>
      </c>
      <c r="H584" s="117">
        <v>20.2</v>
      </c>
      <c r="I584" s="117">
        <v>84.8</v>
      </c>
      <c r="J584" s="117">
        <v>0</v>
      </c>
      <c r="K584" s="117">
        <v>4</v>
      </c>
      <c r="L584" s="117">
        <v>0</v>
      </c>
      <c r="M584" s="117">
        <v>0</v>
      </c>
      <c r="N584" s="117">
        <v>14</v>
      </c>
      <c r="O584" s="117">
        <v>0</v>
      </c>
      <c r="P584" s="117">
        <v>8</v>
      </c>
      <c r="Q584" s="117">
        <v>2.8</v>
      </c>
      <c r="R584" s="29"/>
      <c r="S584" s="29"/>
    </row>
    <row r="585" spans="1:19" s="354" customFormat="1" ht="15.75" customHeight="1" x14ac:dyDescent="0.25">
      <c r="A585" s="106" t="s">
        <v>133</v>
      </c>
      <c r="B585" s="41" t="s">
        <v>39</v>
      </c>
      <c r="C585" s="41"/>
      <c r="D585" s="41"/>
      <c r="E585" s="99">
        <v>75</v>
      </c>
      <c r="F585" s="117">
        <f>4.03*E585/50</f>
        <v>6.0449999999999999</v>
      </c>
      <c r="G585" s="117">
        <f>0.5*E585/50</f>
        <v>0.75</v>
      </c>
      <c r="H585" s="117">
        <f>22.36*E585/50</f>
        <v>33.54</v>
      </c>
      <c r="I585" s="117">
        <f>98.86*E585/50</f>
        <v>148.29</v>
      </c>
      <c r="J585" s="117">
        <v>0</v>
      </c>
      <c r="K585" s="117">
        <v>0</v>
      </c>
      <c r="L585" s="117">
        <v>0</v>
      </c>
      <c r="M585" s="117">
        <v>0</v>
      </c>
      <c r="N585" s="117">
        <f>17.59*E585/50</f>
        <v>26.385000000000002</v>
      </c>
      <c r="O585" s="117">
        <v>0</v>
      </c>
      <c r="P585" s="117">
        <f>1.89*E585/50</f>
        <v>2.835</v>
      </c>
      <c r="Q585" s="117">
        <f>0.88*E585/50</f>
        <v>1.32</v>
      </c>
      <c r="R585" s="17"/>
      <c r="S585" s="17"/>
    </row>
    <row r="586" spans="1:19" s="354" customFormat="1" ht="15.75" customHeight="1" x14ac:dyDescent="0.25">
      <c r="A586" s="106" t="s">
        <v>27</v>
      </c>
      <c r="B586" s="439" t="s">
        <v>28</v>
      </c>
      <c r="C586" s="440"/>
      <c r="D586" s="441"/>
      <c r="E586" s="99">
        <v>45</v>
      </c>
      <c r="F586" s="117">
        <f>2.26*E586/30</f>
        <v>3.3899999999999997</v>
      </c>
      <c r="G586" s="117">
        <f>0.23*E586/30</f>
        <v>0.34499999999999997</v>
      </c>
      <c r="H586" s="117">
        <f>14.66*E586/30</f>
        <v>21.990000000000002</v>
      </c>
      <c r="I586" s="117">
        <f>68.86*E586/30</f>
        <v>103.28999999999999</v>
      </c>
      <c r="J586" s="117">
        <v>0</v>
      </c>
      <c r="K586" s="117">
        <v>0</v>
      </c>
      <c r="L586" s="117">
        <v>0</v>
      </c>
      <c r="M586" s="117">
        <v>0</v>
      </c>
      <c r="N586" s="117">
        <f>12.97*E586/30</f>
        <v>19.454999999999998</v>
      </c>
      <c r="O586" s="117">
        <v>0</v>
      </c>
      <c r="P586" s="117">
        <f>2.83*E586/30</f>
        <v>4.2450000000000001</v>
      </c>
      <c r="Q586" s="117">
        <f>0.74*E586/30</f>
        <v>1.1099999999999999</v>
      </c>
      <c r="R586" s="17"/>
      <c r="S586" s="17"/>
    </row>
    <row r="587" spans="1:19" s="354" customFormat="1" ht="15.75" customHeight="1" x14ac:dyDescent="0.25">
      <c r="A587" s="106"/>
      <c r="B587" s="442" t="s">
        <v>72</v>
      </c>
      <c r="C587" s="472"/>
      <c r="D587" s="473"/>
      <c r="E587" s="106">
        <f t="shared" ref="E587:Q587" si="103">SUM(E581:E586)</f>
        <v>760</v>
      </c>
      <c r="F587" s="106">
        <f t="shared" si="103"/>
        <v>39.365000000000002</v>
      </c>
      <c r="G587" s="106">
        <f t="shared" si="103"/>
        <v>31.614999999999998</v>
      </c>
      <c r="H587" s="106">
        <f t="shared" si="103"/>
        <v>116.73000000000002</v>
      </c>
      <c r="I587" s="106">
        <f t="shared" si="103"/>
        <v>896.56999999999994</v>
      </c>
      <c r="J587" s="132">
        <f t="shared" si="103"/>
        <v>0</v>
      </c>
      <c r="K587" s="132">
        <f t="shared" si="103"/>
        <v>62.84</v>
      </c>
      <c r="L587" s="106">
        <f t="shared" si="103"/>
        <v>0</v>
      </c>
      <c r="M587" s="106">
        <f t="shared" si="103"/>
        <v>0</v>
      </c>
      <c r="N587" s="106">
        <f t="shared" si="103"/>
        <v>169.45</v>
      </c>
      <c r="O587" s="106">
        <f t="shared" si="103"/>
        <v>0</v>
      </c>
      <c r="P587" s="106">
        <f t="shared" si="103"/>
        <v>100.13</v>
      </c>
      <c r="Q587" s="106">
        <f t="shared" si="103"/>
        <v>9.77</v>
      </c>
      <c r="R587" s="17"/>
      <c r="S587" s="17"/>
    </row>
    <row r="588" spans="1:19" s="354" customFormat="1" ht="15.75" customHeight="1" x14ac:dyDescent="0.25">
      <c r="A588" s="201"/>
      <c r="B588" s="474" t="s">
        <v>73</v>
      </c>
      <c r="C588" s="446"/>
      <c r="D588" s="447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"/>
      <c r="S588" s="1"/>
    </row>
    <row r="589" spans="1:19" s="354" customFormat="1" ht="15.75" customHeight="1" x14ac:dyDescent="0.25">
      <c r="A589" s="225"/>
      <c r="B589" s="593"/>
      <c r="C589" s="440"/>
      <c r="D589" s="441"/>
      <c r="E589" s="296"/>
      <c r="F589" s="297"/>
      <c r="G589" s="297"/>
      <c r="H589" s="297"/>
      <c r="I589" s="297"/>
      <c r="J589" s="298"/>
      <c r="K589" s="298"/>
      <c r="L589" s="298"/>
      <c r="M589" s="298"/>
      <c r="N589" s="298"/>
      <c r="O589" s="298"/>
      <c r="P589" s="298"/>
      <c r="Q589" s="298"/>
      <c r="R589" s="1"/>
      <c r="S589" s="1"/>
    </row>
    <row r="590" spans="1:19" s="354" customFormat="1" ht="15.75" customHeight="1" x14ac:dyDescent="0.25">
      <c r="A590" s="115">
        <v>386</v>
      </c>
      <c r="B590" s="482" t="s">
        <v>74</v>
      </c>
      <c r="C590" s="440"/>
      <c r="D590" s="441"/>
      <c r="E590" s="261">
        <v>200</v>
      </c>
      <c r="F590" s="346">
        <v>4.32</v>
      </c>
      <c r="G590" s="346">
        <v>2.5</v>
      </c>
      <c r="H590" s="346">
        <v>9.8800000000000008</v>
      </c>
      <c r="I590" s="346">
        <v>81.95</v>
      </c>
      <c r="J590" s="346">
        <v>0</v>
      </c>
      <c r="K590" s="346">
        <v>0</v>
      </c>
      <c r="L590" s="346">
        <v>0</v>
      </c>
      <c r="M590" s="346">
        <v>0</v>
      </c>
      <c r="N590" s="346">
        <v>120.96</v>
      </c>
      <c r="O590" s="346">
        <v>0</v>
      </c>
      <c r="P590" s="346">
        <v>14.11</v>
      </c>
      <c r="Q590" s="346">
        <v>0.1</v>
      </c>
      <c r="R590" s="39"/>
      <c r="S590" s="39"/>
    </row>
    <row r="591" spans="1:19" s="354" customFormat="1" ht="15.75" customHeight="1" x14ac:dyDescent="0.25">
      <c r="A591" s="106"/>
      <c r="B591" s="442" t="s">
        <v>52</v>
      </c>
      <c r="C591" s="472"/>
      <c r="D591" s="473"/>
      <c r="E591" s="32">
        <f>E590+20</f>
        <v>220</v>
      </c>
      <c r="F591" s="26">
        <f t="shared" ref="F591:Q591" si="104">SUM(F589:F590)</f>
        <v>4.32</v>
      </c>
      <c r="G591" s="26">
        <f t="shared" si="104"/>
        <v>2.5</v>
      </c>
      <c r="H591" s="26">
        <f t="shared" si="104"/>
        <v>9.8800000000000008</v>
      </c>
      <c r="I591" s="26">
        <f t="shared" si="104"/>
        <v>81.95</v>
      </c>
      <c r="J591" s="26">
        <f t="shared" si="104"/>
        <v>0</v>
      </c>
      <c r="K591" s="26">
        <f t="shared" si="104"/>
        <v>0</v>
      </c>
      <c r="L591" s="26">
        <f t="shared" si="104"/>
        <v>0</v>
      </c>
      <c r="M591" s="26">
        <f t="shared" si="104"/>
        <v>0</v>
      </c>
      <c r="N591" s="26">
        <f t="shared" si="104"/>
        <v>120.96</v>
      </c>
      <c r="O591" s="26">
        <f t="shared" si="104"/>
        <v>0</v>
      </c>
      <c r="P591" s="26">
        <f t="shared" si="104"/>
        <v>14.11</v>
      </c>
      <c r="Q591" s="26">
        <f t="shared" si="104"/>
        <v>0.1</v>
      </c>
      <c r="R591" s="17"/>
      <c r="S591" s="17"/>
    </row>
    <row r="592" spans="1:19" s="354" customFormat="1" ht="15.75" customHeight="1" x14ac:dyDescent="0.25">
      <c r="A592" s="106"/>
      <c r="B592" s="436" t="s">
        <v>53</v>
      </c>
      <c r="C592" s="437"/>
      <c r="D592" s="438"/>
      <c r="E592" s="32">
        <v>8</v>
      </c>
      <c r="F592" s="22"/>
      <c r="G592" s="22"/>
      <c r="H592" s="22"/>
      <c r="I592" s="22"/>
      <c r="J592" s="22"/>
      <c r="K592" s="22"/>
      <c r="L592" s="22"/>
      <c r="M592" s="22"/>
      <c r="N592" s="22">
        <v>29.44</v>
      </c>
      <c r="O592" s="22"/>
      <c r="P592" s="22">
        <v>1.76</v>
      </c>
      <c r="Q592" s="22">
        <v>0.23</v>
      </c>
      <c r="R592" s="17"/>
      <c r="S592" s="17"/>
    </row>
    <row r="593" spans="1:19" s="354" customFormat="1" ht="15.75" customHeight="1" x14ac:dyDescent="0.25">
      <c r="A593" s="106"/>
      <c r="B593" s="422" t="s">
        <v>238</v>
      </c>
      <c r="C593" s="423"/>
      <c r="D593" s="424"/>
      <c r="E593" s="27">
        <f t="shared" ref="E593:Q593" si="105">SUM(E561,E564,E575,E579,E587,E591)</f>
        <v>3322</v>
      </c>
      <c r="F593" s="22">
        <f t="shared" si="105"/>
        <v>127.58449999999999</v>
      </c>
      <c r="G593" s="22">
        <f t="shared" si="105"/>
        <v>123.10599999999999</v>
      </c>
      <c r="H593" s="22">
        <f t="shared" si="105"/>
        <v>508.44900000000001</v>
      </c>
      <c r="I593" s="22">
        <f t="shared" si="105"/>
        <v>3835.4390000000003</v>
      </c>
      <c r="J593" s="22">
        <f t="shared" si="105"/>
        <v>9.3000000000000013E-2</v>
      </c>
      <c r="K593" s="22">
        <f t="shared" si="105"/>
        <v>116.9965</v>
      </c>
      <c r="L593" s="22">
        <f t="shared" si="105"/>
        <v>0.92799999999999994</v>
      </c>
      <c r="M593" s="22">
        <f t="shared" si="105"/>
        <v>0.62</v>
      </c>
      <c r="N593" s="22">
        <f>SUM(N561,N564,N575,N579,N587,N591,N592)</f>
        <v>1100.8995</v>
      </c>
      <c r="O593" s="42">
        <f t="shared" si="105"/>
        <v>342.05</v>
      </c>
      <c r="P593" s="22">
        <f t="shared" si="105"/>
        <v>621.73700000000008</v>
      </c>
      <c r="Q593" s="22">
        <f t="shared" si="105"/>
        <v>38.923000000000002</v>
      </c>
      <c r="R593" s="17"/>
      <c r="S593" s="17"/>
    </row>
    <row r="594" spans="1:19" s="354" customFormat="1" ht="15.75" customHeight="1" x14ac:dyDescent="0.25">
      <c r="A594" s="355"/>
      <c r="B594" s="43"/>
      <c r="C594" s="43"/>
      <c r="D594" s="43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1"/>
      <c r="S594" s="1"/>
    </row>
    <row r="595" spans="1:19" s="354" customFormat="1" ht="13.5" customHeight="1" x14ac:dyDescent="0.25">
      <c r="A595" s="523" t="s">
        <v>206</v>
      </c>
      <c r="B595" s="524"/>
      <c r="C595" s="524"/>
      <c r="D595" s="524"/>
      <c r="E595" s="524"/>
      <c r="F595" s="524"/>
      <c r="G595" s="524"/>
      <c r="H595" s="524"/>
      <c r="I595" s="524"/>
      <c r="J595" s="524"/>
      <c r="K595" s="524"/>
      <c r="L595" s="524"/>
      <c r="M595" s="524"/>
      <c r="N595" s="524"/>
      <c r="O595" s="524"/>
      <c r="P595" s="524"/>
      <c r="Q595" s="524"/>
      <c r="R595" s="525"/>
      <c r="S595" s="1"/>
    </row>
    <row r="596" spans="1:19" s="354" customFormat="1" ht="21" customHeight="1" x14ac:dyDescent="0.25">
      <c r="A596" s="753" t="s">
        <v>3</v>
      </c>
      <c r="B596" s="755" t="s">
        <v>4</v>
      </c>
      <c r="C596" s="756"/>
      <c r="D596" s="757"/>
      <c r="E596" s="416" t="s">
        <v>5</v>
      </c>
      <c r="F596" s="761" t="s">
        <v>6</v>
      </c>
      <c r="G596" s="762"/>
      <c r="H596" s="763"/>
      <c r="I596" s="764" t="s">
        <v>7</v>
      </c>
      <c r="J596" s="761" t="s">
        <v>8</v>
      </c>
      <c r="K596" s="762"/>
      <c r="L596" s="762"/>
      <c r="M596" s="763"/>
      <c r="N596" s="761" t="s">
        <v>9</v>
      </c>
      <c r="O596" s="762"/>
      <c r="P596" s="762"/>
      <c r="Q596" s="763"/>
      <c r="R596" s="1"/>
      <c r="S596" s="1"/>
    </row>
    <row r="597" spans="1:19" s="354" customFormat="1" ht="9.75" customHeight="1" x14ac:dyDescent="0.25">
      <c r="A597" s="754"/>
      <c r="B597" s="758"/>
      <c r="C597" s="759"/>
      <c r="D597" s="760"/>
      <c r="E597" s="417"/>
      <c r="F597" s="418" t="s">
        <v>10</v>
      </c>
      <c r="G597" s="418" t="s">
        <v>11</v>
      </c>
      <c r="H597" s="418" t="s">
        <v>12</v>
      </c>
      <c r="I597" s="765"/>
      <c r="J597" s="419" t="s">
        <v>13</v>
      </c>
      <c r="K597" s="419" t="s">
        <v>14</v>
      </c>
      <c r="L597" s="419" t="s">
        <v>15</v>
      </c>
      <c r="M597" s="420" t="s">
        <v>16</v>
      </c>
      <c r="N597" s="421" t="s">
        <v>17</v>
      </c>
      <c r="O597" s="419" t="s">
        <v>18</v>
      </c>
      <c r="P597" s="419" t="s">
        <v>19</v>
      </c>
      <c r="Q597" s="420" t="s">
        <v>20</v>
      </c>
      <c r="R597" s="1"/>
      <c r="S597" s="1"/>
    </row>
    <row r="598" spans="1:19" s="354" customFormat="1" ht="11.25" customHeight="1" x14ac:dyDescent="0.25">
      <c r="A598" s="220">
        <v>1</v>
      </c>
      <c r="B598" s="532">
        <v>2</v>
      </c>
      <c r="C598" s="440"/>
      <c r="D598" s="441"/>
      <c r="E598" s="57">
        <v>3</v>
      </c>
      <c r="F598" s="57">
        <v>4</v>
      </c>
      <c r="G598" s="57">
        <v>5</v>
      </c>
      <c r="H598" s="57">
        <v>6</v>
      </c>
      <c r="I598" s="58">
        <v>7</v>
      </c>
      <c r="J598" s="57">
        <v>8</v>
      </c>
      <c r="K598" s="57">
        <v>9</v>
      </c>
      <c r="L598" s="57">
        <v>10</v>
      </c>
      <c r="M598" s="59">
        <v>11</v>
      </c>
      <c r="N598" s="57">
        <v>12</v>
      </c>
      <c r="O598" s="57">
        <v>13</v>
      </c>
      <c r="P598" s="57">
        <v>14</v>
      </c>
      <c r="Q598" s="60">
        <v>15</v>
      </c>
      <c r="R598" s="1"/>
      <c r="S598" s="1"/>
    </row>
    <row r="599" spans="1:19" s="354" customFormat="1" ht="12" customHeight="1" x14ac:dyDescent="0.25">
      <c r="A599" s="201"/>
      <c r="B599" s="522" t="s">
        <v>21</v>
      </c>
      <c r="C599" s="446"/>
      <c r="D599" s="447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1"/>
      <c r="S599" s="1"/>
    </row>
    <row r="600" spans="1:19" s="354" customFormat="1" ht="15.75" customHeight="1" x14ac:dyDescent="0.25">
      <c r="A600" s="106">
        <v>3</v>
      </c>
      <c r="B600" s="439" t="s">
        <v>56</v>
      </c>
      <c r="C600" s="440"/>
      <c r="D600" s="441"/>
      <c r="E600" s="396" t="s">
        <v>23</v>
      </c>
      <c r="F600" s="117">
        <v>5.8</v>
      </c>
      <c r="G600" s="117">
        <v>8.3000000000000007</v>
      </c>
      <c r="H600" s="117">
        <v>14.83</v>
      </c>
      <c r="I600" s="117">
        <v>157</v>
      </c>
      <c r="J600" s="117">
        <v>0.04</v>
      </c>
      <c r="K600" s="117">
        <v>0.04</v>
      </c>
      <c r="L600" s="117">
        <v>0.03</v>
      </c>
      <c r="M600" s="117">
        <v>0.11</v>
      </c>
      <c r="N600" s="117">
        <v>139.19999999999999</v>
      </c>
      <c r="O600" s="117">
        <v>9.4499999999999993</v>
      </c>
      <c r="P600" s="117">
        <v>96</v>
      </c>
      <c r="Q600" s="117">
        <v>0.49</v>
      </c>
      <c r="R600" s="29"/>
      <c r="S600" s="29"/>
    </row>
    <row r="601" spans="1:19" s="354" customFormat="1" ht="12" customHeight="1" x14ac:dyDescent="0.25">
      <c r="A601" s="470">
        <v>172</v>
      </c>
      <c r="B601" s="542" t="s">
        <v>136</v>
      </c>
      <c r="C601" s="476"/>
      <c r="D601" s="477"/>
      <c r="E601" s="398">
        <v>250</v>
      </c>
      <c r="F601" s="470">
        <f>6.74*(E601+E602)/(250+10)</f>
        <v>6.74</v>
      </c>
      <c r="G601" s="470">
        <f>7.98*(E601+E602)/(250+10)</f>
        <v>7.98</v>
      </c>
      <c r="H601" s="470">
        <f>33.91*(E601+E602)/(250+10)</f>
        <v>33.909999999999997</v>
      </c>
      <c r="I601" s="470">
        <f>233.75*(E601+E602)/(250+10)</f>
        <v>233.75</v>
      </c>
      <c r="J601" s="470">
        <v>0</v>
      </c>
      <c r="K601" s="470">
        <v>0</v>
      </c>
      <c r="L601" s="470">
        <v>0</v>
      </c>
      <c r="M601" s="470">
        <v>0</v>
      </c>
      <c r="N601" s="470">
        <f>130.63*(E601+E602)/(250+10)</f>
        <v>130.63</v>
      </c>
      <c r="O601" s="470">
        <v>0</v>
      </c>
      <c r="P601" s="470">
        <f>70.25*(E601+E602)/(250+10)</f>
        <v>70.25</v>
      </c>
      <c r="Q601" s="470">
        <f>1.93*(E601+E602)/(250+10)</f>
        <v>1.93</v>
      </c>
      <c r="R601" s="17"/>
      <c r="S601" s="17"/>
    </row>
    <row r="602" spans="1:19" s="354" customFormat="1" ht="10.5" customHeight="1" x14ac:dyDescent="0.25">
      <c r="A602" s="471"/>
      <c r="B602" s="478"/>
      <c r="C602" s="479"/>
      <c r="D602" s="480"/>
      <c r="E602" s="398">
        <f>E601*4/100</f>
        <v>10</v>
      </c>
      <c r="F602" s="471"/>
      <c r="G602" s="471"/>
      <c r="H602" s="471"/>
      <c r="I602" s="471"/>
      <c r="J602" s="471"/>
      <c r="K602" s="471"/>
      <c r="L602" s="471"/>
      <c r="M602" s="471"/>
      <c r="N602" s="471"/>
      <c r="O602" s="471"/>
      <c r="P602" s="471"/>
      <c r="Q602" s="471"/>
      <c r="R602" s="17"/>
      <c r="S602" s="17"/>
    </row>
    <row r="603" spans="1:19" s="354" customFormat="1" ht="15.75" customHeight="1" x14ac:dyDescent="0.25">
      <c r="A603" s="106">
        <v>209</v>
      </c>
      <c r="B603" s="448" t="s">
        <v>25</v>
      </c>
      <c r="C603" s="440"/>
      <c r="D603" s="441"/>
      <c r="E603" s="398">
        <v>40</v>
      </c>
      <c r="F603" s="106">
        <v>5.0999999999999996</v>
      </c>
      <c r="G603" s="106">
        <v>4.5999999999999996</v>
      </c>
      <c r="H603" s="106">
        <v>0.3</v>
      </c>
      <c r="I603" s="106">
        <v>63</v>
      </c>
      <c r="J603" s="106"/>
      <c r="K603" s="106"/>
      <c r="L603" s="106"/>
      <c r="M603" s="106"/>
      <c r="N603" s="106">
        <v>22</v>
      </c>
      <c r="O603" s="106"/>
      <c r="P603" s="106">
        <v>4.8</v>
      </c>
      <c r="Q603" s="106">
        <v>1</v>
      </c>
      <c r="R603" s="29"/>
      <c r="S603" s="29"/>
    </row>
    <row r="604" spans="1:19" s="354" customFormat="1" ht="15.75" customHeight="1" x14ac:dyDescent="0.25">
      <c r="A604" s="106">
        <v>377</v>
      </c>
      <c r="B604" s="448" t="s">
        <v>137</v>
      </c>
      <c r="C604" s="440"/>
      <c r="D604" s="441"/>
      <c r="E604" s="398" t="s">
        <v>138</v>
      </c>
      <c r="F604" s="106">
        <v>0.2</v>
      </c>
      <c r="G604" s="106">
        <v>0</v>
      </c>
      <c r="H604" s="106">
        <v>16</v>
      </c>
      <c r="I604" s="106">
        <v>65</v>
      </c>
      <c r="J604" s="106">
        <v>0</v>
      </c>
      <c r="K604" s="106">
        <v>0.03</v>
      </c>
      <c r="L604" s="106">
        <v>0</v>
      </c>
      <c r="M604" s="106">
        <v>0</v>
      </c>
      <c r="N604" s="106">
        <v>11.1</v>
      </c>
      <c r="O604" s="106">
        <v>0</v>
      </c>
      <c r="P604" s="106">
        <v>1.4</v>
      </c>
      <c r="Q604" s="106">
        <v>0.28000000000000003</v>
      </c>
      <c r="R604" s="29"/>
      <c r="S604" s="29"/>
    </row>
    <row r="605" spans="1:19" s="354" customFormat="1" ht="15.75" customHeight="1" x14ac:dyDescent="0.25">
      <c r="A605" s="106"/>
      <c r="B605" s="467" t="s">
        <v>39</v>
      </c>
      <c r="C605" s="468"/>
      <c r="D605" s="469"/>
      <c r="E605" s="396">
        <v>40</v>
      </c>
      <c r="F605" s="117">
        <f>4.03*E605/50</f>
        <v>3.2240000000000002</v>
      </c>
      <c r="G605" s="117">
        <f>0.5*E605/50</f>
        <v>0.4</v>
      </c>
      <c r="H605" s="117">
        <f>22.36*E605/50</f>
        <v>17.887999999999998</v>
      </c>
      <c r="I605" s="117">
        <f>98.86*E605/50</f>
        <v>79.088000000000008</v>
      </c>
      <c r="J605" s="117">
        <v>0</v>
      </c>
      <c r="K605" s="117">
        <v>0</v>
      </c>
      <c r="L605" s="117">
        <v>0</v>
      </c>
      <c r="M605" s="117">
        <v>0</v>
      </c>
      <c r="N605" s="117">
        <f>17.59*E605/50</f>
        <v>14.072000000000001</v>
      </c>
      <c r="O605" s="117">
        <v>0</v>
      </c>
      <c r="P605" s="117">
        <f>1.89*E605/50</f>
        <v>1.5119999999999998</v>
      </c>
      <c r="Q605" s="117">
        <f>0.88*E605/50</f>
        <v>0.70400000000000007</v>
      </c>
      <c r="R605" s="17"/>
      <c r="S605" s="17"/>
    </row>
    <row r="606" spans="1:19" s="354" customFormat="1" ht="15.75" customHeight="1" x14ac:dyDescent="0.25">
      <c r="A606" s="106"/>
      <c r="B606" s="439" t="s">
        <v>28</v>
      </c>
      <c r="C606" s="440"/>
      <c r="D606" s="441"/>
      <c r="E606" s="396">
        <v>45</v>
      </c>
      <c r="F606" s="117">
        <f>2.26*E606/30</f>
        <v>3.3899999999999997</v>
      </c>
      <c r="G606" s="117">
        <f>0.23*E606/30</f>
        <v>0.34499999999999997</v>
      </c>
      <c r="H606" s="117">
        <f>14.66*E606/30</f>
        <v>21.990000000000002</v>
      </c>
      <c r="I606" s="117">
        <f>68.86*E606/30</f>
        <v>103.28999999999999</v>
      </c>
      <c r="J606" s="117">
        <v>0</v>
      </c>
      <c r="K606" s="117">
        <v>0</v>
      </c>
      <c r="L606" s="117">
        <v>0</v>
      </c>
      <c r="M606" s="117">
        <v>0</v>
      </c>
      <c r="N606" s="117">
        <f>12.97*E606/30</f>
        <v>19.454999999999998</v>
      </c>
      <c r="O606" s="117">
        <v>0</v>
      </c>
      <c r="P606" s="117">
        <f>2.83*E606/30</f>
        <v>4.2450000000000001</v>
      </c>
      <c r="Q606" s="117">
        <f>0.74*E606/30</f>
        <v>1.1099999999999999</v>
      </c>
      <c r="R606" s="17"/>
      <c r="S606" s="17"/>
    </row>
    <row r="607" spans="1:19" s="354" customFormat="1" ht="15.75" customHeight="1" x14ac:dyDescent="0.25">
      <c r="A607" s="106"/>
      <c r="B607" s="442" t="s">
        <v>29</v>
      </c>
      <c r="C607" s="472"/>
      <c r="D607" s="473"/>
      <c r="E607" s="396">
        <f>SUM(E600:E606)+200+15+7</f>
        <v>607</v>
      </c>
      <c r="F607" s="117">
        <f t="shared" ref="F607:Q607" si="106">SUM(F600:F606)</f>
        <v>24.454000000000001</v>
      </c>
      <c r="G607" s="117">
        <f t="shared" si="106"/>
        <v>21.625</v>
      </c>
      <c r="H607" s="117">
        <f t="shared" si="106"/>
        <v>104.91800000000001</v>
      </c>
      <c r="I607" s="117">
        <f t="shared" si="106"/>
        <v>701.12799999999993</v>
      </c>
      <c r="J607" s="132">
        <f t="shared" si="106"/>
        <v>0.04</v>
      </c>
      <c r="K607" s="132">
        <f t="shared" si="106"/>
        <v>7.0000000000000007E-2</v>
      </c>
      <c r="L607" s="117">
        <f t="shared" si="106"/>
        <v>0.03</v>
      </c>
      <c r="M607" s="117">
        <f t="shared" si="106"/>
        <v>0.11</v>
      </c>
      <c r="N607" s="117">
        <f t="shared" si="106"/>
        <v>336.45699999999999</v>
      </c>
      <c r="O607" s="117">
        <f t="shared" si="106"/>
        <v>9.4499999999999993</v>
      </c>
      <c r="P607" s="117">
        <f t="shared" si="106"/>
        <v>178.20700000000002</v>
      </c>
      <c r="Q607" s="117">
        <f t="shared" si="106"/>
        <v>5.5139999999999993</v>
      </c>
      <c r="R607" s="17"/>
      <c r="S607" s="17"/>
    </row>
    <row r="608" spans="1:19" s="354" customFormat="1" ht="12.75" customHeight="1" x14ac:dyDescent="0.25">
      <c r="A608" s="201"/>
      <c r="B608" s="522" t="s">
        <v>30</v>
      </c>
      <c r="C608" s="446"/>
      <c r="D608" s="447"/>
      <c r="E608" s="398" t="s">
        <v>139</v>
      </c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"/>
      <c r="S608" s="1"/>
    </row>
    <row r="609" spans="1:19" s="354" customFormat="1" ht="15.75" customHeight="1" x14ac:dyDescent="0.25">
      <c r="A609" s="106">
        <v>338</v>
      </c>
      <c r="B609" s="439" t="s">
        <v>31</v>
      </c>
      <c r="C609" s="440"/>
      <c r="D609" s="441"/>
      <c r="E609" s="399">
        <v>300</v>
      </c>
      <c r="F609" s="133">
        <v>4.5</v>
      </c>
      <c r="G609" s="134">
        <v>1.5</v>
      </c>
      <c r="H609" s="133">
        <v>27</v>
      </c>
      <c r="I609" s="133">
        <v>285</v>
      </c>
      <c r="J609" s="133">
        <v>0</v>
      </c>
      <c r="K609" s="133">
        <v>30</v>
      </c>
      <c r="L609" s="133">
        <v>0</v>
      </c>
      <c r="M609" s="133">
        <v>0</v>
      </c>
      <c r="N609" s="133">
        <v>24</v>
      </c>
      <c r="O609" s="133">
        <v>0</v>
      </c>
      <c r="P609" s="133">
        <v>126</v>
      </c>
      <c r="Q609" s="133">
        <v>2.1</v>
      </c>
      <c r="R609" s="29"/>
      <c r="S609" s="29"/>
    </row>
    <row r="610" spans="1:19" s="354" customFormat="1" ht="15.75" customHeight="1" x14ac:dyDescent="0.25">
      <c r="A610" s="106"/>
      <c r="B610" s="442" t="s">
        <v>32</v>
      </c>
      <c r="C610" s="472"/>
      <c r="D610" s="473"/>
      <c r="E610" s="410">
        <f t="shared" ref="E610:N610" si="107">E609</f>
        <v>300</v>
      </c>
      <c r="F610" s="106">
        <f t="shared" si="107"/>
        <v>4.5</v>
      </c>
      <c r="G610" s="283">
        <f t="shared" si="107"/>
        <v>1.5</v>
      </c>
      <c r="H610" s="350">
        <f t="shared" si="107"/>
        <v>27</v>
      </c>
      <c r="I610" s="284">
        <f t="shared" si="107"/>
        <v>285</v>
      </c>
      <c r="J610" s="350">
        <f t="shared" si="107"/>
        <v>0</v>
      </c>
      <c r="K610" s="351">
        <f t="shared" si="107"/>
        <v>30</v>
      </c>
      <c r="L610" s="350">
        <f t="shared" si="107"/>
        <v>0</v>
      </c>
      <c r="M610" s="351">
        <f t="shared" si="107"/>
        <v>0</v>
      </c>
      <c r="N610" s="350">
        <f t="shared" si="107"/>
        <v>24</v>
      </c>
      <c r="O610" s="351">
        <f>SUM(O609)</f>
        <v>0</v>
      </c>
      <c r="P610" s="350">
        <f t="shared" ref="P610:Q610" si="108">P609</f>
        <v>126</v>
      </c>
      <c r="Q610" s="350">
        <f t="shared" si="108"/>
        <v>2.1</v>
      </c>
      <c r="R610" s="17"/>
      <c r="S610" s="17"/>
    </row>
    <row r="611" spans="1:19" s="354" customFormat="1" ht="12" customHeight="1" x14ac:dyDescent="0.25">
      <c r="A611" s="201"/>
      <c r="B611" s="522" t="s">
        <v>33</v>
      </c>
      <c r="C611" s="446"/>
      <c r="D611" s="447"/>
      <c r="E611" s="398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"/>
      <c r="S611" s="1"/>
    </row>
    <row r="612" spans="1:19" s="359" customFormat="1" ht="15.75" customHeight="1" x14ac:dyDescent="0.25">
      <c r="A612" s="106">
        <v>75</v>
      </c>
      <c r="B612" s="540" t="s">
        <v>98</v>
      </c>
      <c r="C612" s="440"/>
      <c r="D612" s="441"/>
      <c r="E612" s="391">
        <v>100</v>
      </c>
      <c r="F612" s="117">
        <v>2.1</v>
      </c>
      <c r="G612" s="117">
        <v>6.8</v>
      </c>
      <c r="H612" s="117">
        <v>13.8</v>
      </c>
      <c r="I612" s="117">
        <v>125</v>
      </c>
      <c r="J612" s="117">
        <f>0*E612/100</f>
        <v>0</v>
      </c>
      <c r="K612" s="117">
        <v>5.12</v>
      </c>
      <c r="L612" s="117">
        <v>0</v>
      </c>
      <c r="M612" s="117">
        <v>0</v>
      </c>
      <c r="N612" s="117">
        <v>30.64</v>
      </c>
      <c r="O612" s="117">
        <v>0</v>
      </c>
      <c r="P612" s="117">
        <v>41.28</v>
      </c>
      <c r="Q612" s="117">
        <v>1.22</v>
      </c>
      <c r="R612" s="17"/>
      <c r="S612" s="17"/>
    </row>
    <row r="613" spans="1:19" s="359" customFormat="1" ht="16.5" customHeight="1" x14ac:dyDescent="0.25">
      <c r="A613" s="115">
        <v>88</v>
      </c>
      <c r="B613" s="544" t="s">
        <v>34</v>
      </c>
      <c r="C613" s="440"/>
      <c r="D613" s="441"/>
      <c r="E613" s="411">
        <v>300</v>
      </c>
      <c r="F613" s="149">
        <f t="shared" ref="F613" si="109">1.76*E613/250</f>
        <v>2.1120000000000001</v>
      </c>
      <c r="G613" s="149">
        <f t="shared" ref="G613" si="110">4.95*E613/250</f>
        <v>5.94</v>
      </c>
      <c r="H613" s="149">
        <f t="shared" ref="H613" si="111">11.5*E613/250</f>
        <v>13.8</v>
      </c>
      <c r="I613" s="149">
        <f t="shared" ref="I613" si="112">97.59*E613/250</f>
        <v>117.108</v>
      </c>
      <c r="J613" s="149" t="s">
        <v>35</v>
      </c>
      <c r="K613" s="149">
        <f t="shared" ref="K613" si="113">22*E613/250</f>
        <v>26.4</v>
      </c>
      <c r="L613" s="149">
        <v>0</v>
      </c>
      <c r="M613" s="149">
        <f t="shared" ref="M613" si="114">22*E613/250</f>
        <v>26.4</v>
      </c>
      <c r="N613" s="149">
        <f t="shared" ref="N613" si="115">50*E613/250</f>
        <v>60</v>
      </c>
      <c r="O613" s="180">
        <v>0</v>
      </c>
      <c r="P613" s="149">
        <f t="shared" ref="P613" si="116">34.25*E613/250</f>
        <v>41.1</v>
      </c>
      <c r="Q613" s="149">
        <f t="shared" ref="Q613" si="117">0.75*E613/250</f>
        <v>0.9</v>
      </c>
      <c r="R613" s="29"/>
      <c r="S613" s="29"/>
    </row>
    <row r="614" spans="1:19" s="354" customFormat="1" ht="14.25" customHeight="1" x14ac:dyDescent="0.25">
      <c r="A614" s="737" t="s">
        <v>89</v>
      </c>
      <c r="B614" s="799" t="s">
        <v>142</v>
      </c>
      <c r="C614" s="842"/>
      <c r="D614" s="843"/>
      <c r="E614" s="840">
        <v>120</v>
      </c>
      <c r="F614" s="737">
        <f>15.4*(E614+E615)/(100+50)</f>
        <v>12.32</v>
      </c>
      <c r="G614" s="737">
        <f>12.1*(E614+E615)/(100+50)</f>
        <v>9.68</v>
      </c>
      <c r="H614" s="737">
        <f>26.9*(E614+E615)/(100+50)</f>
        <v>21.52</v>
      </c>
      <c r="I614" s="737">
        <f>278.1*(E614+E615)/(100+50)</f>
        <v>222.48</v>
      </c>
      <c r="J614" s="737">
        <v>0</v>
      </c>
      <c r="K614" s="737">
        <f>2.5*(E614+E615)/(100+50)</f>
        <v>2</v>
      </c>
      <c r="L614" s="737">
        <v>0</v>
      </c>
      <c r="M614" s="737">
        <v>0</v>
      </c>
      <c r="N614" s="737">
        <f>15.3*(E614+E615)/(100+50)</f>
        <v>12.24</v>
      </c>
      <c r="O614" s="737">
        <f>23*(E614+E615)/(100+50)</f>
        <v>18.399999999999999</v>
      </c>
      <c r="P614" s="737">
        <f>23*(E614+E615)/(100+50)</f>
        <v>18.399999999999999</v>
      </c>
      <c r="Q614" s="737">
        <f>3*(E614+E615)/(100+50)</f>
        <v>2.4</v>
      </c>
      <c r="R614" s="39"/>
      <c r="S614" s="39"/>
    </row>
    <row r="615" spans="1:19" s="354" customFormat="1" ht="3" customHeight="1" x14ac:dyDescent="0.25">
      <c r="A615" s="738"/>
      <c r="B615" s="844"/>
      <c r="C615" s="845"/>
      <c r="D615" s="846"/>
      <c r="E615" s="841"/>
      <c r="F615" s="738"/>
      <c r="G615" s="738"/>
      <c r="H615" s="738"/>
      <c r="I615" s="738"/>
      <c r="J615" s="738"/>
      <c r="K615" s="738"/>
      <c r="L615" s="738"/>
      <c r="M615" s="738"/>
      <c r="N615" s="738"/>
      <c r="O615" s="738"/>
      <c r="P615" s="738"/>
      <c r="Q615" s="738"/>
      <c r="R615" s="29"/>
      <c r="S615" s="29"/>
    </row>
    <row r="616" spans="1:19" s="354" customFormat="1" ht="15.75" customHeight="1" x14ac:dyDescent="0.25">
      <c r="A616" s="226">
        <v>824</v>
      </c>
      <c r="B616" s="595" t="s">
        <v>143</v>
      </c>
      <c r="C616" s="440"/>
      <c r="D616" s="441"/>
      <c r="E616" s="397">
        <v>50</v>
      </c>
      <c r="F616" s="226">
        <v>2.2400000000000002</v>
      </c>
      <c r="G616" s="226">
        <v>3.39</v>
      </c>
      <c r="H616" s="226">
        <v>5.89</v>
      </c>
      <c r="I616" s="226">
        <v>58.78</v>
      </c>
      <c r="J616" s="285">
        <v>0</v>
      </c>
      <c r="K616" s="285">
        <v>0.2</v>
      </c>
      <c r="L616" s="285">
        <v>0</v>
      </c>
      <c r="M616" s="285">
        <v>0</v>
      </c>
      <c r="N616" s="285">
        <v>1.85</v>
      </c>
      <c r="O616" s="285">
        <v>0</v>
      </c>
      <c r="P616" s="285">
        <v>3.12</v>
      </c>
      <c r="Q616" s="285">
        <v>0.45</v>
      </c>
      <c r="R616" s="29"/>
      <c r="S616" s="29"/>
    </row>
    <row r="617" spans="1:19" s="354" customFormat="1" ht="15.75" customHeight="1" x14ac:dyDescent="0.25">
      <c r="A617" s="203">
        <v>302</v>
      </c>
      <c r="B617" s="433" t="s">
        <v>144</v>
      </c>
      <c r="C617" s="596"/>
      <c r="D617" s="597"/>
      <c r="E617" s="389">
        <v>200</v>
      </c>
      <c r="F617" s="115">
        <f>8.6*E617/200</f>
        <v>8.6</v>
      </c>
      <c r="G617" s="115">
        <f>7.2*E617/200</f>
        <v>7.2</v>
      </c>
      <c r="H617" s="115">
        <f>47.6*E617/200</f>
        <v>47.6</v>
      </c>
      <c r="I617" s="115">
        <f>289.6*E617/200</f>
        <v>289.60000000000002</v>
      </c>
      <c r="J617" s="115"/>
      <c r="K617" s="115">
        <v>0</v>
      </c>
      <c r="L617" s="115">
        <v>0</v>
      </c>
      <c r="M617" s="115"/>
      <c r="N617" s="115">
        <f>14.64*E617/200</f>
        <v>14.64</v>
      </c>
      <c r="O617" s="115">
        <v>0</v>
      </c>
      <c r="P617" s="115">
        <f>40.45*E617/200</f>
        <v>40.450000000000003</v>
      </c>
      <c r="Q617" s="115">
        <f>3.41*E617/200</f>
        <v>3.41</v>
      </c>
      <c r="R617" s="17"/>
      <c r="S617" s="17"/>
    </row>
    <row r="618" spans="1:19" s="354" customFormat="1" ht="15.75" customHeight="1" x14ac:dyDescent="0.25">
      <c r="A618" s="106">
        <v>342</v>
      </c>
      <c r="B618" s="467" t="s">
        <v>38</v>
      </c>
      <c r="C618" s="468"/>
      <c r="D618" s="469"/>
      <c r="E618" s="391">
        <v>200</v>
      </c>
      <c r="F618" s="117">
        <v>0.08</v>
      </c>
      <c r="G618" s="117">
        <v>0</v>
      </c>
      <c r="H618" s="117">
        <v>21.82</v>
      </c>
      <c r="I618" s="117">
        <v>87.6</v>
      </c>
      <c r="J618" s="117">
        <v>0</v>
      </c>
      <c r="K618" s="117">
        <v>2.25</v>
      </c>
      <c r="L618" s="117">
        <v>0</v>
      </c>
      <c r="M618" s="117">
        <v>0</v>
      </c>
      <c r="N618" s="117">
        <v>17</v>
      </c>
      <c r="O618" s="117">
        <v>0</v>
      </c>
      <c r="P618" s="117">
        <v>9</v>
      </c>
      <c r="Q618" s="117">
        <v>2.2000000000000002</v>
      </c>
      <c r="R618" s="29"/>
      <c r="S618" s="29"/>
    </row>
    <row r="619" spans="1:19" s="354" customFormat="1" ht="15.75" customHeight="1" x14ac:dyDescent="0.25">
      <c r="A619" s="106" t="s">
        <v>27</v>
      </c>
      <c r="B619" s="467" t="s">
        <v>39</v>
      </c>
      <c r="C619" s="468"/>
      <c r="D619" s="469"/>
      <c r="E619" s="396">
        <v>120</v>
      </c>
      <c r="F619" s="117">
        <f>4.03*E619/50</f>
        <v>9.6720000000000006</v>
      </c>
      <c r="G619" s="117">
        <f>0.5*E619/50</f>
        <v>1.2</v>
      </c>
      <c r="H619" s="117">
        <f>22.36*E619/50</f>
        <v>53.663999999999994</v>
      </c>
      <c r="I619" s="117">
        <f>98.86*E619/50</f>
        <v>237.26400000000001</v>
      </c>
      <c r="J619" s="117">
        <v>0</v>
      </c>
      <c r="K619" s="117">
        <v>0</v>
      </c>
      <c r="L619" s="117">
        <v>0</v>
      </c>
      <c r="M619" s="117">
        <v>0</v>
      </c>
      <c r="N619" s="117">
        <f>17.59*E619/50</f>
        <v>42.216000000000001</v>
      </c>
      <c r="O619" s="117">
        <v>0</v>
      </c>
      <c r="P619" s="117">
        <f>1.89*E619/50</f>
        <v>4.5359999999999996</v>
      </c>
      <c r="Q619" s="117">
        <f>0.88*E619/50</f>
        <v>2.1120000000000001</v>
      </c>
      <c r="R619" s="17"/>
      <c r="S619" s="17"/>
    </row>
    <row r="620" spans="1:19" s="354" customFormat="1" ht="15.75" customHeight="1" x14ac:dyDescent="0.25">
      <c r="A620" s="106" t="s">
        <v>27</v>
      </c>
      <c r="B620" s="439" t="s">
        <v>28</v>
      </c>
      <c r="C620" s="440"/>
      <c r="D620" s="441"/>
      <c r="E620" s="396">
        <v>45</v>
      </c>
      <c r="F620" s="117">
        <f>2.26*E620/30</f>
        <v>3.3899999999999997</v>
      </c>
      <c r="G620" s="117">
        <f>0.23*E620/30</f>
        <v>0.34499999999999997</v>
      </c>
      <c r="H620" s="117">
        <f>14.66*E620/30</f>
        <v>21.990000000000002</v>
      </c>
      <c r="I620" s="117">
        <f>68.86*E620/30</f>
        <v>103.28999999999999</v>
      </c>
      <c r="J620" s="117">
        <v>0</v>
      </c>
      <c r="K620" s="117">
        <v>0</v>
      </c>
      <c r="L620" s="117">
        <v>0</v>
      </c>
      <c r="M620" s="117">
        <v>0</v>
      </c>
      <c r="N620" s="117">
        <f>12.97*E620/30</f>
        <v>19.454999999999998</v>
      </c>
      <c r="O620" s="117">
        <v>0</v>
      </c>
      <c r="P620" s="117">
        <f>2.83*E620/30</f>
        <v>4.2450000000000001</v>
      </c>
      <c r="Q620" s="117">
        <f>0.74*E620/30</f>
        <v>1.1099999999999999</v>
      </c>
      <c r="R620" s="17"/>
      <c r="S620" s="17"/>
    </row>
    <row r="621" spans="1:19" s="354" customFormat="1" ht="15.75" customHeight="1" x14ac:dyDescent="0.25">
      <c r="A621" s="106"/>
      <c r="B621" s="442" t="s">
        <v>65</v>
      </c>
      <c r="C621" s="472"/>
      <c r="D621" s="473"/>
      <c r="E621" s="391">
        <f t="shared" ref="E621:Q621" si="118">SUM(E612:E620)</f>
        <v>1135</v>
      </c>
      <c r="F621" s="117">
        <f t="shared" si="118"/>
        <v>40.513999999999996</v>
      </c>
      <c r="G621" s="117">
        <f t="shared" si="118"/>
        <v>34.555000000000007</v>
      </c>
      <c r="H621" s="117">
        <f t="shared" si="118"/>
        <v>200.084</v>
      </c>
      <c r="I621" s="117">
        <f t="shared" si="118"/>
        <v>1241.1219999999998</v>
      </c>
      <c r="J621" s="117">
        <f t="shared" si="118"/>
        <v>0</v>
      </c>
      <c r="K621" s="117">
        <f t="shared" si="118"/>
        <v>35.97</v>
      </c>
      <c r="L621" s="117">
        <f t="shared" si="118"/>
        <v>0</v>
      </c>
      <c r="M621" s="117">
        <f t="shared" si="118"/>
        <v>26.4</v>
      </c>
      <c r="N621" s="117">
        <f t="shared" si="118"/>
        <v>198.041</v>
      </c>
      <c r="O621" s="117">
        <f t="shared" si="118"/>
        <v>18.399999999999999</v>
      </c>
      <c r="P621" s="117">
        <f t="shared" si="118"/>
        <v>162.13100000000003</v>
      </c>
      <c r="Q621" s="117">
        <f t="shared" si="118"/>
        <v>13.801999999999998</v>
      </c>
      <c r="R621" s="17"/>
      <c r="S621" s="17"/>
    </row>
    <row r="622" spans="1:19" s="354" customFormat="1" ht="12.75" customHeight="1" x14ac:dyDescent="0.25">
      <c r="A622" s="201"/>
      <c r="B622" s="445" t="s">
        <v>41</v>
      </c>
      <c r="C622" s="446"/>
      <c r="D622" s="447"/>
      <c r="E622" s="398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"/>
      <c r="S622" s="1"/>
    </row>
    <row r="623" spans="1:19" s="354" customFormat="1" ht="15.75" customHeight="1" x14ac:dyDescent="0.25">
      <c r="A623" s="106" t="s">
        <v>27</v>
      </c>
      <c r="B623" s="439" t="s">
        <v>105</v>
      </c>
      <c r="C623" s="440"/>
      <c r="D623" s="441"/>
      <c r="E623" s="390">
        <v>50</v>
      </c>
      <c r="F623" s="106">
        <v>1.25</v>
      </c>
      <c r="G623" s="106">
        <v>1.48</v>
      </c>
      <c r="H623" s="106">
        <v>34.89</v>
      </c>
      <c r="I623" s="106">
        <v>160.75</v>
      </c>
      <c r="J623" s="106">
        <v>0</v>
      </c>
      <c r="K623" s="106">
        <v>0.1</v>
      </c>
      <c r="L623" s="106">
        <v>0</v>
      </c>
      <c r="M623" s="106">
        <v>0</v>
      </c>
      <c r="N623" s="106">
        <v>6.8</v>
      </c>
      <c r="O623" s="106">
        <v>0</v>
      </c>
      <c r="P623" s="106">
        <v>4.53</v>
      </c>
      <c r="Q623" s="106">
        <v>0.9</v>
      </c>
      <c r="R623" s="29"/>
      <c r="S623" s="29"/>
    </row>
    <row r="624" spans="1:19" s="354" customFormat="1" ht="15.75" customHeight="1" x14ac:dyDescent="0.25">
      <c r="A624" s="115">
        <v>379</v>
      </c>
      <c r="B624" s="439" t="s">
        <v>26</v>
      </c>
      <c r="C624" s="440"/>
      <c r="D624" s="441"/>
      <c r="E624" s="389">
        <v>200</v>
      </c>
      <c r="F624" s="115">
        <v>3.58</v>
      </c>
      <c r="G624" s="115">
        <v>2.68</v>
      </c>
      <c r="H624" s="115">
        <v>28.34</v>
      </c>
      <c r="I624" s="115">
        <v>151.80000000000001</v>
      </c>
      <c r="J624" s="115">
        <v>0.02</v>
      </c>
      <c r="K624" s="115">
        <v>0.04</v>
      </c>
      <c r="L624" s="115">
        <v>0.1</v>
      </c>
      <c r="M624" s="115">
        <v>1.3</v>
      </c>
      <c r="N624" s="115">
        <v>125.78</v>
      </c>
      <c r="O624" s="115">
        <v>0</v>
      </c>
      <c r="P624" s="115">
        <v>14</v>
      </c>
      <c r="Q624" s="115">
        <v>0.13</v>
      </c>
      <c r="R624" s="29"/>
      <c r="S624" s="29"/>
    </row>
    <row r="625" spans="1:19" s="354" customFormat="1" ht="15.75" customHeight="1" x14ac:dyDescent="0.25">
      <c r="A625" s="106"/>
      <c r="B625" s="442" t="s">
        <v>86</v>
      </c>
      <c r="C625" s="472"/>
      <c r="D625" s="473"/>
      <c r="E625" s="398">
        <f t="shared" ref="E625:Q625" si="119">SUM(E623:E624)</f>
        <v>250</v>
      </c>
      <c r="F625" s="132">
        <f t="shared" si="119"/>
        <v>4.83</v>
      </c>
      <c r="G625" s="132">
        <f t="shared" si="119"/>
        <v>4.16</v>
      </c>
      <c r="H625" s="132">
        <f t="shared" si="119"/>
        <v>63.230000000000004</v>
      </c>
      <c r="I625" s="132">
        <f t="shared" si="119"/>
        <v>312.55</v>
      </c>
      <c r="J625" s="132">
        <f t="shared" si="119"/>
        <v>0.02</v>
      </c>
      <c r="K625" s="132">
        <f t="shared" si="119"/>
        <v>0.14000000000000001</v>
      </c>
      <c r="L625" s="132">
        <f t="shared" si="119"/>
        <v>0.1</v>
      </c>
      <c r="M625" s="132">
        <f t="shared" si="119"/>
        <v>1.3</v>
      </c>
      <c r="N625" s="132">
        <f t="shared" si="119"/>
        <v>132.58000000000001</v>
      </c>
      <c r="O625" s="132">
        <f t="shared" si="119"/>
        <v>0</v>
      </c>
      <c r="P625" s="132">
        <f t="shared" si="119"/>
        <v>18.53</v>
      </c>
      <c r="Q625" s="132">
        <f t="shared" si="119"/>
        <v>1.03</v>
      </c>
      <c r="R625" s="17"/>
      <c r="S625" s="17"/>
    </row>
    <row r="626" spans="1:19" s="354" customFormat="1" ht="12" customHeight="1" x14ac:dyDescent="0.25">
      <c r="A626" s="201"/>
      <c r="B626" s="522" t="s">
        <v>145</v>
      </c>
      <c r="C626" s="446"/>
      <c r="D626" s="447"/>
      <c r="E626" s="398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"/>
      <c r="S626" s="1"/>
    </row>
    <row r="627" spans="1:19" s="359" customFormat="1" ht="15.75" customHeight="1" x14ac:dyDescent="0.25">
      <c r="A627" s="115">
        <v>321</v>
      </c>
      <c r="B627" s="448" t="s">
        <v>88</v>
      </c>
      <c r="C627" s="440"/>
      <c r="D627" s="441"/>
      <c r="E627" s="412">
        <v>100</v>
      </c>
      <c r="F627" s="129">
        <v>4.13</v>
      </c>
      <c r="G627" s="129">
        <v>6.47</v>
      </c>
      <c r="H627" s="129">
        <v>18.850000000000001</v>
      </c>
      <c r="I627" s="129">
        <v>150.19999999999999</v>
      </c>
      <c r="J627" s="129" t="s">
        <v>35</v>
      </c>
      <c r="K627" s="129">
        <v>34.25</v>
      </c>
      <c r="L627" s="129">
        <f>0*E627/100</f>
        <v>0</v>
      </c>
      <c r="M627" s="129">
        <f>0*E627/100</f>
        <v>0</v>
      </c>
      <c r="N627" s="129">
        <v>110.9</v>
      </c>
      <c r="O627" s="129">
        <f>0*E627/100</f>
        <v>0</v>
      </c>
      <c r="P627" s="129">
        <v>41.3</v>
      </c>
      <c r="Q627" s="129">
        <v>1.61</v>
      </c>
      <c r="R627" s="56"/>
      <c r="S627" s="29"/>
    </row>
    <row r="628" spans="1:19" s="354" customFormat="1" ht="8.25" customHeight="1" x14ac:dyDescent="0.25">
      <c r="A628" s="470" t="s">
        <v>146</v>
      </c>
      <c r="B628" s="542" t="s">
        <v>147</v>
      </c>
      <c r="C628" s="476"/>
      <c r="D628" s="477"/>
      <c r="E628" s="390">
        <v>120</v>
      </c>
      <c r="F628" s="504">
        <f>15.28*(E628+E629)/(100+50)</f>
        <v>18.336000000000002</v>
      </c>
      <c r="G628" s="470">
        <f>12.3*(E628+E629)/(100+50)</f>
        <v>14.76</v>
      </c>
      <c r="H628" s="470">
        <f>15.6*(E628+E629)/(100+50)</f>
        <v>18.72</v>
      </c>
      <c r="I628" s="470">
        <f>234.22*(E628+E629)/(100+50)</f>
        <v>281.06399999999996</v>
      </c>
      <c r="J628" s="470">
        <v>0</v>
      </c>
      <c r="K628" s="470">
        <f>2.4*(E628+E629)/(100+50)</f>
        <v>2.88</v>
      </c>
      <c r="L628" s="470">
        <v>0</v>
      </c>
      <c r="M628" s="470">
        <v>0</v>
      </c>
      <c r="N628" s="470">
        <f>19.54*(E628+E629)/(100+50)</f>
        <v>23.448</v>
      </c>
      <c r="O628" s="470">
        <v>0</v>
      </c>
      <c r="P628" s="470">
        <f>48.9*(E628+E629)/(100+50)</f>
        <v>58.68</v>
      </c>
      <c r="Q628" s="470">
        <f>1.02*(E628+E629)/(100+50)</f>
        <v>1.224</v>
      </c>
      <c r="R628" s="17"/>
      <c r="S628" s="17"/>
    </row>
    <row r="629" spans="1:19" s="354" customFormat="1" ht="12" customHeight="1" x14ac:dyDescent="0.25">
      <c r="A629" s="471"/>
      <c r="B629" s="478"/>
      <c r="C629" s="479"/>
      <c r="D629" s="480"/>
      <c r="E629" s="413">
        <f>E628/2</f>
        <v>60</v>
      </c>
      <c r="F629" s="505"/>
      <c r="G629" s="471"/>
      <c r="H629" s="471"/>
      <c r="I629" s="471"/>
      <c r="J629" s="471"/>
      <c r="K629" s="471"/>
      <c r="L629" s="471"/>
      <c r="M629" s="471"/>
      <c r="N629" s="471"/>
      <c r="O629" s="471"/>
      <c r="P629" s="471"/>
      <c r="Q629" s="471"/>
      <c r="R629" s="17"/>
      <c r="S629" s="17"/>
    </row>
    <row r="630" spans="1:19" s="354" customFormat="1" ht="10.5" customHeight="1" x14ac:dyDescent="0.25">
      <c r="A630" s="723">
        <v>310</v>
      </c>
      <c r="B630" s="628" t="s">
        <v>148</v>
      </c>
      <c r="C630" s="724"/>
      <c r="D630" s="725"/>
      <c r="E630" s="413">
        <v>220</v>
      </c>
      <c r="F630" s="561">
        <v>3.9</v>
      </c>
      <c r="G630" s="561">
        <v>10.45</v>
      </c>
      <c r="H630" s="561">
        <v>27.46</v>
      </c>
      <c r="I630" s="561">
        <v>231</v>
      </c>
      <c r="J630" s="561">
        <v>0</v>
      </c>
      <c r="K630" s="561">
        <f>28*E630/200</f>
        <v>30.8</v>
      </c>
      <c r="L630" s="561">
        <v>0</v>
      </c>
      <c r="M630" s="561">
        <v>0</v>
      </c>
      <c r="N630" s="561">
        <f>19.52*E630/200</f>
        <v>21.471999999999998</v>
      </c>
      <c r="O630" s="561">
        <v>0</v>
      </c>
      <c r="P630" s="561">
        <f>39.1*E630/200</f>
        <v>43.01</v>
      </c>
      <c r="Q630" s="561">
        <f>1.54*E630/200</f>
        <v>1.694</v>
      </c>
      <c r="R630" s="17"/>
      <c r="S630" s="17"/>
    </row>
    <row r="631" spans="1:19" s="354" customFormat="1" ht="9.75" customHeight="1" x14ac:dyDescent="0.25">
      <c r="A631" s="471"/>
      <c r="B631" s="726"/>
      <c r="C631" s="727"/>
      <c r="D631" s="728"/>
      <c r="E631" s="396">
        <v>7</v>
      </c>
      <c r="F631" s="471"/>
      <c r="G631" s="471"/>
      <c r="H631" s="471"/>
      <c r="I631" s="471"/>
      <c r="J631" s="471"/>
      <c r="K631" s="471"/>
      <c r="L631" s="471"/>
      <c r="M631" s="471"/>
      <c r="N631" s="471"/>
      <c r="O631" s="471"/>
      <c r="P631" s="471"/>
      <c r="Q631" s="471"/>
      <c r="R631" s="17"/>
      <c r="S631" s="17"/>
    </row>
    <row r="632" spans="1:19" s="354" customFormat="1" ht="15.75" customHeight="1" x14ac:dyDescent="0.25">
      <c r="A632" s="106" t="s">
        <v>27</v>
      </c>
      <c r="B632" s="467" t="s">
        <v>39</v>
      </c>
      <c r="C632" s="468"/>
      <c r="D632" s="469"/>
      <c r="E632" s="396">
        <v>75</v>
      </c>
      <c r="F632" s="117">
        <f>4.03*E632/50</f>
        <v>6.0449999999999999</v>
      </c>
      <c r="G632" s="117">
        <f>0.5*E632/50</f>
        <v>0.75</v>
      </c>
      <c r="H632" s="117">
        <f>22.36*E632/50</f>
        <v>33.54</v>
      </c>
      <c r="I632" s="117">
        <f>98.86*E632/50</f>
        <v>148.29</v>
      </c>
      <c r="J632" s="117">
        <v>0</v>
      </c>
      <c r="K632" s="117">
        <v>0</v>
      </c>
      <c r="L632" s="117">
        <v>0</v>
      </c>
      <c r="M632" s="117">
        <v>0</v>
      </c>
      <c r="N632" s="117">
        <f>17.59*E632/50</f>
        <v>26.385000000000002</v>
      </c>
      <c r="O632" s="117">
        <v>0</v>
      </c>
      <c r="P632" s="117">
        <f>1.89*E632/50</f>
        <v>2.835</v>
      </c>
      <c r="Q632" s="117">
        <f>0.88*E632/50</f>
        <v>1.32</v>
      </c>
      <c r="R632" s="17"/>
      <c r="S632" s="17"/>
    </row>
    <row r="633" spans="1:19" s="354" customFormat="1" ht="15.75" customHeight="1" x14ac:dyDescent="0.25">
      <c r="A633" s="106" t="s">
        <v>27</v>
      </c>
      <c r="B633" s="439" t="s">
        <v>28</v>
      </c>
      <c r="C633" s="440"/>
      <c r="D633" s="441"/>
      <c r="E633" s="396">
        <v>45</v>
      </c>
      <c r="F633" s="117">
        <f>2.26*E633/30</f>
        <v>3.3899999999999997</v>
      </c>
      <c r="G633" s="117">
        <f>0.23*E633/30</f>
        <v>0.34499999999999997</v>
      </c>
      <c r="H633" s="117">
        <f>14.66*E633/30</f>
        <v>21.990000000000002</v>
      </c>
      <c r="I633" s="117">
        <f>68.86*E633/30</f>
        <v>103.28999999999999</v>
      </c>
      <c r="J633" s="117">
        <v>0</v>
      </c>
      <c r="K633" s="117">
        <v>0</v>
      </c>
      <c r="L633" s="117">
        <v>0</v>
      </c>
      <c r="M633" s="117">
        <v>0</v>
      </c>
      <c r="N633" s="117">
        <f>12.97*E633/30</f>
        <v>19.454999999999998</v>
      </c>
      <c r="O633" s="117">
        <v>0</v>
      </c>
      <c r="P633" s="117">
        <f>2.83*E633/30</f>
        <v>4.2450000000000001</v>
      </c>
      <c r="Q633" s="117">
        <f>0.74*E633/30</f>
        <v>1.1099999999999999</v>
      </c>
      <c r="R633" s="17"/>
      <c r="S633" s="17"/>
    </row>
    <row r="634" spans="1:19" s="354" customFormat="1" ht="15.75" customHeight="1" x14ac:dyDescent="0.25">
      <c r="A634" s="122">
        <v>389</v>
      </c>
      <c r="B634" s="448" t="s">
        <v>92</v>
      </c>
      <c r="C634" s="440"/>
      <c r="D634" s="441"/>
      <c r="E634" s="412">
        <v>200</v>
      </c>
      <c r="F634" s="346">
        <v>1</v>
      </c>
      <c r="G634" s="346">
        <v>0</v>
      </c>
      <c r="H634" s="346">
        <v>20.2</v>
      </c>
      <c r="I634" s="346">
        <v>84.8</v>
      </c>
      <c r="J634" s="346">
        <v>0</v>
      </c>
      <c r="K634" s="346">
        <v>4</v>
      </c>
      <c r="L634" s="346">
        <v>0</v>
      </c>
      <c r="M634" s="346">
        <v>0</v>
      </c>
      <c r="N634" s="346">
        <v>14</v>
      </c>
      <c r="O634" s="346">
        <v>0</v>
      </c>
      <c r="P634" s="346">
        <v>8</v>
      </c>
      <c r="Q634" s="346">
        <v>2.8</v>
      </c>
      <c r="R634" s="29"/>
      <c r="S634" s="29"/>
    </row>
    <row r="635" spans="1:19" s="354" customFormat="1" ht="15.75" customHeight="1" x14ac:dyDescent="0.25">
      <c r="A635" s="106"/>
      <c r="B635" s="442" t="s">
        <v>48</v>
      </c>
      <c r="C635" s="443"/>
      <c r="D635" s="444"/>
      <c r="E635" s="391">
        <f t="shared" ref="E635:Q635" si="120">SUM(E627:E634)</f>
        <v>827</v>
      </c>
      <c r="F635" s="117">
        <f t="shared" si="120"/>
        <v>36.801000000000002</v>
      </c>
      <c r="G635" s="117">
        <f t="shared" si="120"/>
        <v>32.774999999999999</v>
      </c>
      <c r="H635" s="117">
        <f t="shared" si="120"/>
        <v>140.76</v>
      </c>
      <c r="I635" s="117">
        <f t="shared" si="120"/>
        <v>998.64399999999978</v>
      </c>
      <c r="J635" s="132">
        <f t="shared" si="120"/>
        <v>0</v>
      </c>
      <c r="K635" s="132">
        <f t="shared" si="120"/>
        <v>71.930000000000007</v>
      </c>
      <c r="L635" s="117">
        <f t="shared" si="120"/>
        <v>0</v>
      </c>
      <c r="M635" s="117">
        <f t="shared" si="120"/>
        <v>0</v>
      </c>
      <c r="N635" s="117">
        <f t="shared" si="120"/>
        <v>215.66000000000003</v>
      </c>
      <c r="O635" s="117">
        <f t="shared" si="120"/>
        <v>0</v>
      </c>
      <c r="P635" s="117">
        <f t="shared" si="120"/>
        <v>158.07</v>
      </c>
      <c r="Q635" s="117">
        <f t="shared" si="120"/>
        <v>9.7579999999999991</v>
      </c>
      <c r="R635" s="19"/>
      <c r="S635" s="17"/>
    </row>
    <row r="636" spans="1:19" s="354" customFormat="1" ht="15" customHeight="1" x14ac:dyDescent="0.25">
      <c r="A636" s="201"/>
      <c r="B636" s="522" t="s">
        <v>149</v>
      </c>
      <c r="C636" s="446"/>
      <c r="D636" s="447"/>
      <c r="E636" s="398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"/>
      <c r="S636" s="1"/>
    </row>
    <row r="637" spans="1:19" s="354" customFormat="1" ht="15.75" customHeight="1" x14ac:dyDescent="0.25">
      <c r="A637" s="106">
        <v>386</v>
      </c>
      <c r="B637" s="439" t="s">
        <v>150</v>
      </c>
      <c r="C637" s="440"/>
      <c r="D637" s="441"/>
      <c r="E637" s="414">
        <v>200</v>
      </c>
      <c r="F637" s="348">
        <v>9.4</v>
      </c>
      <c r="G637" s="348">
        <v>4.4000000000000004</v>
      </c>
      <c r="H637" s="348">
        <v>6.37</v>
      </c>
      <c r="I637" s="348">
        <v>102.6</v>
      </c>
      <c r="J637" s="115">
        <v>0.06</v>
      </c>
      <c r="K637" s="115">
        <v>1.2</v>
      </c>
      <c r="L637" s="115">
        <v>0.02</v>
      </c>
      <c r="M637" s="115">
        <v>0</v>
      </c>
      <c r="N637" s="115">
        <v>248</v>
      </c>
      <c r="O637" s="115">
        <v>190</v>
      </c>
      <c r="P637" s="115">
        <v>30</v>
      </c>
      <c r="Q637" s="115">
        <v>0.2</v>
      </c>
      <c r="R637" s="29"/>
      <c r="S637" s="29"/>
    </row>
    <row r="638" spans="1:19" s="354" customFormat="1" ht="15.75" customHeight="1" x14ac:dyDescent="0.25">
      <c r="A638" s="106" t="s">
        <v>27</v>
      </c>
      <c r="B638" s="439" t="s">
        <v>130</v>
      </c>
      <c r="C638" s="440"/>
      <c r="D638" s="441"/>
      <c r="E638" s="389">
        <v>20</v>
      </c>
      <c r="F638" s="102">
        <v>1.25</v>
      </c>
      <c r="G638" s="102">
        <v>1.48</v>
      </c>
      <c r="H638" s="102">
        <v>34.89</v>
      </c>
      <c r="I638" s="102">
        <v>160.75</v>
      </c>
      <c r="J638" s="102">
        <v>0</v>
      </c>
      <c r="K638" s="102">
        <v>0.1</v>
      </c>
      <c r="L638" s="102">
        <v>0</v>
      </c>
      <c r="M638" s="102">
        <v>0</v>
      </c>
      <c r="N638" s="102">
        <v>6.8</v>
      </c>
      <c r="O638" s="102">
        <v>0</v>
      </c>
      <c r="P638" s="102">
        <v>4.53</v>
      </c>
      <c r="Q638" s="102">
        <v>0.9</v>
      </c>
      <c r="R638" s="29"/>
      <c r="S638" s="29"/>
    </row>
    <row r="639" spans="1:19" s="354" customFormat="1" ht="15.75" customHeight="1" x14ac:dyDescent="0.25">
      <c r="A639" s="106"/>
      <c r="B639" s="436" t="s">
        <v>53</v>
      </c>
      <c r="C639" s="437"/>
      <c r="D639" s="438"/>
      <c r="E639" s="391">
        <v>8</v>
      </c>
      <c r="F639" s="117"/>
      <c r="G639" s="117"/>
      <c r="H639" s="117"/>
      <c r="I639" s="117"/>
      <c r="J639" s="117"/>
      <c r="K639" s="117"/>
      <c r="L639" s="117"/>
      <c r="M639" s="117"/>
      <c r="N639" s="117">
        <v>29.44</v>
      </c>
      <c r="O639" s="117"/>
      <c r="P639" s="117">
        <v>1.76</v>
      </c>
      <c r="Q639" s="117">
        <v>0.23</v>
      </c>
      <c r="R639" s="29"/>
      <c r="S639" s="29"/>
    </row>
    <row r="640" spans="1:19" s="354" customFormat="1" ht="15.75" customHeight="1" x14ac:dyDescent="0.25">
      <c r="A640" s="106"/>
      <c r="B640" s="442" t="s">
        <v>52</v>
      </c>
      <c r="C640" s="443"/>
      <c r="D640" s="444"/>
      <c r="E640" s="415">
        <f t="shared" ref="E640:Q640" si="121">SUM(E637:E638)</f>
        <v>220</v>
      </c>
      <c r="F640" s="109">
        <f t="shared" si="121"/>
        <v>10.65</v>
      </c>
      <c r="G640" s="109">
        <f t="shared" si="121"/>
        <v>5.8800000000000008</v>
      </c>
      <c r="H640" s="109">
        <f t="shared" si="121"/>
        <v>41.26</v>
      </c>
      <c r="I640" s="109">
        <f t="shared" si="121"/>
        <v>263.35000000000002</v>
      </c>
      <c r="J640" s="109">
        <f t="shared" si="121"/>
        <v>0.06</v>
      </c>
      <c r="K640" s="109">
        <f t="shared" si="121"/>
        <v>1.3</v>
      </c>
      <c r="L640" s="109">
        <f t="shared" si="121"/>
        <v>0.02</v>
      </c>
      <c r="M640" s="109">
        <f t="shared" si="121"/>
        <v>0</v>
      </c>
      <c r="N640" s="109">
        <f t="shared" si="121"/>
        <v>254.8</v>
      </c>
      <c r="O640" s="109">
        <f t="shared" si="121"/>
        <v>190</v>
      </c>
      <c r="P640" s="109">
        <f t="shared" si="121"/>
        <v>34.53</v>
      </c>
      <c r="Q640" s="109">
        <f t="shared" si="121"/>
        <v>1.1000000000000001</v>
      </c>
      <c r="R640" s="17"/>
      <c r="S640" s="17"/>
    </row>
    <row r="641" spans="1:19" s="354" customFormat="1" ht="15.75" customHeight="1" x14ac:dyDescent="0.25">
      <c r="A641" s="350"/>
      <c r="B641" s="717" t="s">
        <v>239</v>
      </c>
      <c r="C641" s="718"/>
      <c r="D641" s="719"/>
      <c r="E641" s="406">
        <f t="shared" ref="E641:Q641" si="122">SUM(E607,E610,E621,E625,E635,E640)</f>
        <v>3339</v>
      </c>
      <c r="F641" s="110">
        <f t="shared" si="122"/>
        <v>121.749</v>
      </c>
      <c r="G641" s="110">
        <f t="shared" si="122"/>
        <v>100.495</v>
      </c>
      <c r="H641" s="110">
        <f t="shared" si="122"/>
        <v>577.25199999999995</v>
      </c>
      <c r="I641" s="110">
        <f t="shared" si="122"/>
        <v>3801.7939999999999</v>
      </c>
      <c r="J641" s="110">
        <f t="shared" si="122"/>
        <v>0.12</v>
      </c>
      <c r="K641" s="110">
        <f t="shared" si="122"/>
        <v>139.41000000000003</v>
      </c>
      <c r="L641" s="110">
        <f t="shared" si="122"/>
        <v>0.15</v>
      </c>
      <c r="M641" s="110">
        <f t="shared" si="122"/>
        <v>27.81</v>
      </c>
      <c r="N641" s="110">
        <f t="shared" si="122"/>
        <v>1161.538</v>
      </c>
      <c r="O641" s="110">
        <f t="shared" si="122"/>
        <v>217.85</v>
      </c>
      <c r="P641" s="110">
        <f t="shared" si="122"/>
        <v>677.46800000000007</v>
      </c>
      <c r="Q641" s="110">
        <f t="shared" si="122"/>
        <v>33.303999999999995</v>
      </c>
      <c r="R641" s="29"/>
      <c r="S641" s="29"/>
    </row>
    <row r="642" spans="1:19" s="354" customFormat="1" ht="15.75" customHeight="1" x14ac:dyDescent="0.25">
      <c r="A642" s="105"/>
      <c r="B642" s="720" t="s">
        <v>240</v>
      </c>
      <c r="C642" s="721"/>
      <c r="D642" s="721"/>
      <c r="E642" s="407">
        <f t="shared" ref="E642:Q642" si="123">SUM(E363,E409,E452,E499,E546,E593,E641)</f>
        <v>23252.2196</v>
      </c>
      <c r="F642" s="112">
        <f t="shared" si="123"/>
        <v>973.32653037664886</v>
      </c>
      <c r="G642" s="112">
        <f t="shared" si="123"/>
        <v>882.02640712673792</v>
      </c>
      <c r="H642" s="112">
        <f t="shared" si="123"/>
        <v>3635.573242741355</v>
      </c>
      <c r="I642" s="112">
        <f t="shared" si="123"/>
        <v>26423.493052112659</v>
      </c>
      <c r="J642" s="112">
        <f t="shared" si="123"/>
        <v>0.69199999999999995</v>
      </c>
      <c r="K642" s="112">
        <f t="shared" si="123"/>
        <v>862.1713964135472</v>
      </c>
      <c r="L642" s="112">
        <f t="shared" si="123"/>
        <v>7.2160000000000002</v>
      </c>
      <c r="M642" s="112">
        <f t="shared" si="123"/>
        <v>90.97</v>
      </c>
      <c r="N642" s="113">
        <f t="shared" si="123"/>
        <v>9253.6031311909101</v>
      </c>
      <c r="O642" s="114">
        <f t="shared" si="123"/>
        <v>1224.579</v>
      </c>
      <c r="P642" s="113">
        <f t="shared" si="123"/>
        <v>4533.5888253953653</v>
      </c>
      <c r="Q642" s="112">
        <f t="shared" si="123"/>
        <v>285.85626872549017</v>
      </c>
      <c r="R642" s="17"/>
      <c r="S642" s="17"/>
    </row>
    <row r="643" spans="1:19" s="359" customFormat="1" ht="12" customHeight="1" x14ac:dyDescent="0.25">
      <c r="A643" s="358"/>
      <c r="B643" s="836" t="s">
        <v>214</v>
      </c>
      <c r="C643" s="837"/>
      <c r="D643" s="838"/>
      <c r="E643" s="408">
        <f>E642+E316</f>
        <v>45887.232799999998</v>
      </c>
      <c r="F643" s="387">
        <f>F642+F316:Q316</f>
        <v>1522.1158713543673</v>
      </c>
      <c r="G643" s="387">
        <f t="shared" ref="G643:Q643" si="124">G642+G316:R316</f>
        <v>1389.7311102855615</v>
      </c>
      <c r="H643" s="387">
        <f t="shared" si="124"/>
        <v>5660.5403587197861</v>
      </c>
      <c r="I643" s="387">
        <f t="shared" si="124"/>
        <v>41433.108848208918</v>
      </c>
      <c r="J643" s="387">
        <f t="shared" si="124"/>
        <v>1.4096</v>
      </c>
      <c r="K643" s="387">
        <f t="shared" si="124"/>
        <v>1339.2017381247772</v>
      </c>
      <c r="L643" s="387">
        <f t="shared" si="124"/>
        <v>7.4969999999999999</v>
      </c>
      <c r="M643" s="387">
        <f t="shared" si="124"/>
        <v>115.81</v>
      </c>
      <c r="N643" s="387">
        <f t="shared" si="124"/>
        <v>14952.193492272729</v>
      </c>
      <c r="O643" s="387">
        <f t="shared" si="124"/>
        <v>1856.0989999999999</v>
      </c>
      <c r="P643" s="387">
        <f t="shared" si="124"/>
        <v>6942.3118269975039</v>
      </c>
      <c r="Q643" s="387">
        <f t="shared" si="124"/>
        <v>462.92272477361848</v>
      </c>
      <c r="R643" s="221"/>
      <c r="S643" s="221"/>
    </row>
    <row r="644" spans="1:19" s="359" customFormat="1" ht="13.5" customHeight="1" x14ac:dyDescent="0.25">
      <c r="A644" s="388"/>
      <c r="B644" s="839" t="s">
        <v>215</v>
      </c>
      <c r="C644" s="605"/>
      <c r="D644" s="605"/>
      <c r="E644" s="409">
        <f t="shared" ref="E644:Q644" si="125">E643/14</f>
        <v>3277.6594857142854</v>
      </c>
      <c r="F644" s="104">
        <f t="shared" si="125"/>
        <v>108.72256223959766</v>
      </c>
      <c r="G644" s="104">
        <f t="shared" si="125"/>
        <v>99.266507877540107</v>
      </c>
      <c r="H644" s="104">
        <f t="shared" si="125"/>
        <v>404.3243113371276</v>
      </c>
      <c r="I644" s="104">
        <f t="shared" si="125"/>
        <v>2959.5077748720655</v>
      </c>
      <c r="J644" s="104">
        <f t="shared" si="125"/>
        <v>0.10068571428571428</v>
      </c>
      <c r="K644" s="104">
        <f t="shared" si="125"/>
        <v>95.657267008912655</v>
      </c>
      <c r="L644" s="104">
        <f t="shared" si="125"/>
        <v>0.53549999999999998</v>
      </c>
      <c r="M644" s="104">
        <f t="shared" si="125"/>
        <v>8.2721428571428568</v>
      </c>
      <c r="N644" s="104">
        <f t="shared" si="125"/>
        <v>1068.0138208766234</v>
      </c>
      <c r="O644" s="104">
        <f t="shared" si="125"/>
        <v>132.57849999999999</v>
      </c>
      <c r="P644" s="104">
        <f t="shared" si="125"/>
        <v>495.87941621410744</v>
      </c>
      <c r="Q644" s="104">
        <f t="shared" si="125"/>
        <v>33.065908912401319</v>
      </c>
      <c r="R644" s="221"/>
      <c r="S644" s="221"/>
    </row>
    <row r="645" spans="1:19" x14ac:dyDescent="0.25">
      <c r="A645" t="s">
        <v>242</v>
      </c>
    </row>
  </sheetData>
  <mergeCells count="1370">
    <mergeCell ref="Q614:Q615"/>
    <mergeCell ref="P614:P615"/>
    <mergeCell ref="O614:O615"/>
    <mergeCell ref="N614:N615"/>
    <mergeCell ref="M614:M615"/>
    <mergeCell ref="L614:L615"/>
    <mergeCell ref="K614:K615"/>
    <mergeCell ref="J614:J615"/>
    <mergeCell ref="I614:I615"/>
    <mergeCell ref="H614:H615"/>
    <mergeCell ref="G614:G615"/>
    <mergeCell ref="F614:F615"/>
    <mergeCell ref="E614:E615"/>
    <mergeCell ref="B614:D615"/>
    <mergeCell ref="B420:D420"/>
    <mergeCell ref="B421:D421"/>
    <mergeCell ref="B422:D422"/>
    <mergeCell ref="B423:D423"/>
    <mergeCell ref="B433:D433"/>
    <mergeCell ref="B434:D434"/>
    <mergeCell ref="B435:D435"/>
    <mergeCell ref="B436:D436"/>
    <mergeCell ref="B437:D437"/>
    <mergeCell ref="B438:D438"/>
    <mergeCell ref="B439:D439"/>
    <mergeCell ref="B446:D446"/>
    <mergeCell ref="B447:D447"/>
    <mergeCell ref="B448:D448"/>
    <mergeCell ref="P461:P462"/>
    <mergeCell ref="Q461:Q462"/>
    <mergeCell ref="B457:D457"/>
    <mergeCell ref="B458:D458"/>
    <mergeCell ref="A614:A615"/>
    <mergeCell ref="B643:D643"/>
    <mergeCell ref="B644:D644"/>
    <mergeCell ref="B135:D135"/>
    <mergeCell ref="P125:P126"/>
    <mergeCell ref="Q125:Q126"/>
    <mergeCell ref="B127:D127"/>
    <mergeCell ref="B128:D128"/>
    <mergeCell ref="B129:D129"/>
    <mergeCell ref="B130:D130"/>
    <mergeCell ref="J125:J126"/>
    <mergeCell ref="K125:K126"/>
    <mergeCell ref="L125:L126"/>
    <mergeCell ref="M125:M126"/>
    <mergeCell ref="N125:N126"/>
    <mergeCell ref="O125:O126"/>
    <mergeCell ref="A201:A202"/>
    <mergeCell ref="B201:D20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P201:P202"/>
    <mergeCell ref="Q201:Q202"/>
    <mergeCell ref="B140:D140"/>
    <mergeCell ref="B141:D141"/>
    <mergeCell ref="Q123:Q124"/>
    <mergeCell ref="A125:A126"/>
    <mergeCell ref="B125:D126"/>
    <mergeCell ref="F125:F126"/>
    <mergeCell ref="G125:G126"/>
    <mergeCell ref="H125:H126"/>
    <mergeCell ref="I125:I126"/>
    <mergeCell ref="H123:H124"/>
    <mergeCell ref="I123:I124"/>
    <mergeCell ref="J123:J124"/>
    <mergeCell ref="K123:K124"/>
    <mergeCell ref="L123:L124"/>
    <mergeCell ref="M123:M124"/>
    <mergeCell ref="B131:D131"/>
    <mergeCell ref="B132:D132"/>
    <mergeCell ref="B133:D133"/>
    <mergeCell ref="B134:D134"/>
    <mergeCell ref="B119:D119"/>
    <mergeCell ref="B120:D120"/>
    <mergeCell ref="H117:H118"/>
    <mergeCell ref="I117:I118"/>
    <mergeCell ref="J117:J118"/>
    <mergeCell ref="K117:K118"/>
    <mergeCell ref="L117:L118"/>
    <mergeCell ref="M117:M118"/>
    <mergeCell ref="B121:D121"/>
    <mergeCell ref="B122:D122"/>
    <mergeCell ref="A123:A124"/>
    <mergeCell ref="B123:D124"/>
    <mergeCell ref="F123:F124"/>
    <mergeCell ref="G123:G124"/>
    <mergeCell ref="N117:N118"/>
    <mergeCell ref="O117:O118"/>
    <mergeCell ref="P117:P118"/>
    <mergeCell ref="N123:N124"/>
    <mergeCell ref="O123:O124"/>
    <mergeCell ref="P123:P124"/>
    <mergeCell ref="P109:P110"/>
    <mergeCell ref="Q109:Q110"/>
    <mergeCell ref="B114:D114"/>
    <mergeCell ref="G109:G110"/>
    <mergeCell ref="H109:H110"/>
    <mergeCell ref="I109:I110"/>
    <mergeCell ref="J109:J110"/>
    <mergeCell ref="K109:K110"/>
    <mergeCell ref="L109:L110"/>
    <mergeCell ref="B115:D115"/>
    <mergeCell ref="B116:D116"/>
    <mergeCell ref="A117:A118"/>
    <mergeCell ref="B117:D118"/>
    <mergeCell ref="F117:F118"/>
    <mergeCell ref="G117:G118"/>
    <mergeCell ref="M109:M110"/>
    <mergeCell ref="N109:N110"/>
    <mergeCell ref="O109:O110"/>
    <mergeCell ref="Q117:Q118"/>
    <mergeCell ref="B99:D99"/>
    <mergeCell ref="G96:G98"/>
    <mergeCell ref="H96:H98"/>
    <mergeCell ref="I96:I98"/>
    <mergeCell ref="J96:J98"/>
    <mergeCell ref="K96:K98"/>
    <mergeCell ref="L96:L98"/>
    <mergeCell ref="B106:D106"/>
    <mergeCell ref="B107:D107"/>
    <mergeCell ref="B108:D108"/>
    <mergeCell ref="A109:A110"/>
    <mergeCell ref="B109:D110"/>
    <mergeCell ref="F109:F110"/>
    <mergeCell ref="B100:D100"/>
    <mergeCell ref="B101:D101"/>
    <mergeCell ref="B102:D102"/>
    <mergeCell ref="B103:D103"/>
    <mergeCell ref="B104:D104"/>
    <mergeCell ref="B105:D105"/>
    <mergeCell ref="B82:D82"/>
    <mergeCell ref="B83:D83"/>
    <mergeCell ref="B84:D84"/>
    <mergeCell ref="B85:D85"/>
    <mergeCell ref="B86:D86"/>
    <mergeCell ref="B87:D87"/>
    <mergeCell ref="N77:N78"/>
    <mergeCell ref="O77:O78"/>
    <mergeCell ref="P77:P78"/>
    <mergeCell ref="B93:D93"/>
    <mergeCell ref="B94:D94"/>
    <mergeCell ref="B95:D95"/>
    <mergeCell ref="A96:A98"/>
    <mergeCell ref="B96:D98"/>
    <mergeCell ref="F96:F98"/>
    <mergeCell ref="B88:D88"/>
    <mergeCell ref="B89:D89"/>
    <mergeCell ref="A90:R90"/>
    <mergeCell ref="A91:A92"/>
    <mergeCell ref="B91:D92"/>
    <mergeCell ref="E91:E92"/>
    <mergeCell ref="F91:H91"/>
    <mergeCell ref="I91:I92"/>
    <mergeCell ref="J91:M91"/>
    <mergeCell ref="N91:Q91"/>
    <mergeCell ref="M96:M98"/>
    <mergeCell ref="N96:N98"/>
    <mergeCell ref="O96:O98"/>
    <mergeCell ref="P96:P98"/>
    <mergeCell ref="Q96:Q98"/>
    <mergeCell ref="B75:D75"/>
    <mergeCell ref="B76:D76"/>
    <mergeCell ref="A77:A78"/>
    <mergeCell ref="B77:D78"/>
    <mergeCell ref="F77:F78"/>
    <mergeCell ref="G77:G78"/>
    <mergeCell ref="B68:D68"/>
    <mergeCell ref="B70:D70"/>
    <mergeCell ref="B71:D71"/>
    <mergeCell ref="B72:D72"/>
    <mergeCell ref="B73:D73"/>
    <mergeCell ref="B74:D74"/>
    <mergeCell ref="Q77:Q78"/>
    <mergeCell ref="B79:D79"/>
    <mergeCell ref="B80:D80"/>
    <mergeCell ref="H77:H78"/>
    <mergeCell ref="I77:I78"/>
    <mergeCell ref="J77:J78"/>
    <mergeCell ref="K77:K78"/>
    <mergeCell ref="L77:L78"/>
    <mergeCell ref="M77:M78"/>
    <mergeCell ref="B62:D62"/>
    <mergeCell ref="B63:D63"/>
    <mergeCell ref="B64:D64"/>
    <mergeCell ref="A65:A66"/>
    <mergeCell ref="B65:D66"/>
    <mergeCell ref="F65:F66"/>
    <mergeCell ref="B57:D57"/>
    <mergeCell ref="B58:D58"/>
    <mergeCell ref="B59:D59"/>
    <mergeCell ref="B60:D60"/>
    <mergeCell ref="B61:D61"/>
    <mergeCell ref="M65:M66"/>
    <mergeCell ref="N65:N66"/>
    <mergeCell ref="O65:O66"/>
    <mergeCell ref="P65:P66"/>
    <mergeCell ref="Q65:Q66"/>
    <mergeCell ref="B67:D67"/>
    <mergeCell ref="G65:G66"/>
    <mergeCell ref="H65:H66"/>
    <mergeCell ref="I65:I66"/>
    <mergeCell ref="J65:J66"/>
    <mergeCell ref="K65:K66"/>
    <mergeCell ref="L65:L66"/>
    <mergeCell ref="B51:D51"/>
    <mergeCell ref="B52:D52"/>
    <mergeCell ref="B53:D53"/>
    <mergeCell ref="A54:A55"/>
    <mergeCell ref="B54:D55"/>
    <mergeCell ref="F54:F55"/>
    <mergeCell ref="A49:A50"/>
    <mergeCell ref="B49:D50"/>
    <mergeCell ref="F49:H49"/>
    <mergeCell ref="R61:S61"/>
    <mergeCell ref="M54:M55"/>
    <mergeCell ref="N54:N55"/>
    <mergeCell ref="O54:O55"/>
    <mergeCell ref="P54:P55"/>
    <mergeCell ref="Q54:Q55"/>
    <mergeCell ref="B56:D56"/>
    <mergeCell ref="G54:G55"/>
    <mergeCell ref="H54:H55"/>
    <mergeCell ref="I54:I55"/>
    <mergeCell ref="J54:J55"/>
    <mergeCell ref="K54:K55"/>
    <mergeCell ref="L54:L55"/>
    <mergeCell ref="P36:P37"/>
    <mergeCell ref="Q36:Q37"/>
    <mergeCell ref="B38:D38"/>
    <mergeCell ref="B40:D40"/>
    <mergeCell ref="B41:D41"/>
    <mergeCell ref="B42:D42"/>
    <mergeCell ref="J36:J37"/>
    <mergeCell ref="K36:K37"/>
    <mergeCell ref="L36:L37"/>
    <mergeCell ref="M36:M37"/>
    <mergeCell ref="N36:N37"/>
    <mergeCell ref="O36:O37"/>
    <mergeCell ref="I49:I50"/>
    <mergeCell ref="J49:M49"/>
    <mergeCell ref="N49:Q49"/>
    <mergeCell ref="B43:D43"/>
    <mergeCell ref="B44:D44"/>
    <mergeCell ref="B45:D45"/>
    <mergeCell ref="B46:D46"/>
    <mergeCell ref="B47:D47"/>
    <mergeCell ref="A48:R48"/>
    <mergeCell ref="B24:D24"/>
    <mergeCell ref="B26:D26"/>
    <mergeCell ref="B27:D27"/>
    <mergeCell ref="B28:D28"/>
    <mergeCell ref="B29:D29"/>
    <mergeCell ref="A36:A37"/>
    <mergeCell ref="B36:D37"/>
    <mergeCell ref="F36:F37"/>
    <mergeCell ref="G36:G37"/>
    <mergeCell ref="H36:H37"/>
    <mergeCell ref="I36:I37"/>
    <mergeCell ref="B30:D30"/>
    <mergeCell ref="B31:D31"/>
    <mergeCell ref="B32:D32"/>
    <mergeCell ref="B33:D33"/>
    <mergeCell ref="A34:A35"/>
    <mergeCell ref="B34:D35"/>
    <mergeCell ref="F34:F35"/>
    <mergeCell ref="G34:G35"/>
    <mergeCell ref="H34:H35"/>
    <mergeCell ref="I34:I35"/>
    <mergeCell ref="B18:D18"/>
    <mergeCell ref="P9:P10"/>
    <mergeCell ref="Q9:Q10"/>
    <mergeCell ref="B11:D11"/>
    <mergeCell ref="B12:D12"/>
    <mergeCell ref="B13:D13"/>
    <mergeCell ref="B14:D14"/>
    <mergeCell ref="J9:J10"/>
    <mergeCell ref="K9:K10"/>
    <mergeCell ref="L9:L10"/>
    <mergeCell ref="M9:M10"/>
    <mergeCell ref="N9:N10"/>
    <mergeCell ref="O9:O10"/>
    <mergeCell ref="A19:A20"/>
    <mergeCell ref="B19:D20"/>
    <mergeCell ref="F19:F20"/>
    <mergeCell ref="G19:G20"/>
    <mergeCell ref="H19:H20"/>
    <mergeCell ref="A136:R136"/>
    <mergeCell ref="A137:A138"/>
    <mergeCell ref="B137:D138"/>
    <mergeCell ref="E137:E138"/>
    <mergeCell ref="F137:H137"/>
    <mergeCell ref="I137:I138"/>
    <mergeCell ref="J137:M137"/>
    <mergeCell ref="N137:Q137"/>
    <mergeCell ref="B139:D139"/>
    <mergeCell ref="B146:D146"/>
    <mergeCell ref="D1:O1"/>
    <mergeCell ref="F2:L2"/>
    <mergeCell ref="A3:R3"/>
    <mergeCell ref="A4:A5"/>
    <mergeCell ref="B4:D5"/>
    <mergeCell ref="E4:E5"/>
    <mergeCell ref="F4:H4"/>
    <mergeCell ref="I4:I5"/>
    <mergeCell ref="J4:M4"/>
    <mergeCell ref="N4:Q4"/>
    <mergeCell ref="B6:D6"/>
    <mergeCell ref="B7:D7"/>
    <mergeCell ref="B8:D8"/>
    <mergeCell ref="A9:A10"/>
    <mergeCell ref="B9:D10"/>
    <mergeCell ref="F9:F10"/>
    <mergeCell ref="G9:G10"/>
    <mergeCell ref="H9:H10"/>
    <mergeCell ref="I9:I10"/>
    <mergeCell ref="B15:D15"/>
    <mergeCell ref="B16:D16"/>
    <mergeCell ref="B17:D17"/>
    <mergeCell ref="B147:D147"/>
    <mergeCell ref="B148:D148"/>
    <mergeCell ref="B149:D149"/>
    <mergeCell ref="B150:D150"/>
    <mergeCell ref="B151:D151"/>
    <mergeCell ref="B152:D152"/>
    <mergeCell ref="A153:A154"/>
    <mergeCell ref="B153:D154"/>
    <mergeCell ref="K142:K143"/>
    <mergeCell ref="L142:L143"/>
    <mergeCell ref="M142:M143"/>
    <mergeCell ref="N142:N143"/>
    <mergeCell ref="O142:O143"/>
    <mergeCell ref="P142:P143"/>
    <mergeCell ref="Q142:Q143"/>
    <mergeCell ref="B144:D144"/>
    <mergeCell ref="B145:D145"/>
    <mergeCell ref="A142:A143"/>
    <mergeCell ref="B142:D143"/>
    <mergeCell ref="F142:F143"/>
    <mergeCell ref="G142:G143"/>
    <mergeCell ref="H142:H143"/>
    <mergeCell ref="I142:I143"/>
    <mergeCell ref="J142:J143"/>
    <mergeCell ref="B162:D162"/>
    <mergeCell ref="B163:D163"/>
    <mergeCell ref="B164:D164"/>
    <mergeCell ref="B165:D165"/>
    <mergeCell ref="B166:D166"/>
    <mergeCell ref="A167:A168"/>
    <mergeCell ref="B167:D168"/>
    <mergeCell ref="F167:F168"/>
    <mergeCell ref="G167:G168"/>
    <mergeCell ref="O153:O154"/>
    <mergeCell ref="P153:P154"/>
    <mergeCell ref="Q153:Q154"/>
    <mergeCell ref="B155:D155"/>
    <mergeCell ref="B156:D156"/>
    <mergeCell ref="B157:D157"/>
    <mergeCell ref="B159:D159"/>
    <mergeCell ref="B160:D160"/>
    <mergeCell ref="B161:D161"/>
    <mergeCell ref="F153:F154"/>
    <mergeCell ref="G153:G154"/>
    <mergeCell ref="H153:H154"/>
    <mergeCell ref="I153:I154"/>
    <mergeCell ref="J153:J154"/>
    <mergeCell ref="K153:K154"/>
    <mergeCell ref="L153:L154"/>
    <mergeCell ref="M153:M154"/>
    <mergeCell ref="N153:N154"/>
    <mergeCell ref="Q167:Q168"/>
    <mergeCell ref="B169:D169"/>
    <mergeCell ref="B170:D170"/>
    <mergeCell ref="B172:D172"/>
    <mergeCell ref="B173:D173"/>
    <mergeCell ref="B174:D174"/>
    <mergeCell ref="B175:D175"/>
    <mergeCell ref="B176:D176"/>
    <mergeCell ref="B177:D177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B184:D184"/>
    <mergeCell ref="B185:D185"/>
    <mergeCell ref="B186:D186"/>
    <mergeCell ref="A187:A188"/>
    <mergeCell ref="B187:D188"/>
    <mergeCell ref="F187:F188"/>
    <mergeCell ref="G187:G188"/>
    <mergeCell ref="H187:H188"/>
    <mergeCell ref="I187:I188"/>
    <mergeCell ref="B178:D178"/>
    <mergeCell ref="B179:D179"/>
    <mergeCell ref="A181:R181"/>
    <mergeCell ref="A182:A183"/>
    <mergeCell ref="B182:D183"/>
    <mergeCell ref="F182:H182"/>
    <mergeCell ref="I182:I183"/>
    <mergeCell ref="J182:M182"/>
    <mergeCell ref="N182:Q182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B189:D189"/>
    <mergeCell ref="M199:M200"/>
    <mergeCell ref="N199:N200"/>
    <mergeCell ref="O199:O200"/>
    <mergeCell ref="P199:P200"/>
    <mergeCell ref="Q199:Q200"/>
    <mergeCell ref="B204:D204"/>
    <mergeCell ref="B205:D205"/>
    <mergeCell ref="A199:A200"/>
    <mergeCell ref="B199:D200"/>
    <mergeCell ref="F199:F200"/>
    <mergeCell ref="G199:G200"/>
    <mergeCell ref="H199:H200"/>
    <mergeCell ref="I199:I200"/>
    <mergeCell ref="J199:J200"/>
    <mergeCell ref="K199:K200"/>
    <mergeCell ref="L199:L200"/>
    <mergeCell ref="L207:L208"/>
    <mergeCell ref="M207:M208"/>
    <mergeCell ref="N207:N208"/>
    <mergeCell ref="O207:O208"/>
    <mergeCell ref="P207:P208"/>
    <mergeCell ref="Q207:Q208"/>
    <mergeCell ref="B209:D209"/>
    <mergeCell ref="B210:D210"/>
    <mergeCell ref="B211:D211"/>
    <mergeCell ref="B206:D206"/>
    <mergeCell ref="A207:A208"/>
    <mergeCell ref="B207:D208"/>
    <mergeCell ref="F207:F208"/>
    <mergeCell ref="G207:G208"/>
    <mergeCell ref="H207:H208"/>
    <mergeCell ref="I207:I208"/>
    <mergeCell ref="J207:J208"/>
    <mergeCell ref="K207:K208"/>
    <mergeCell ref="L212:L213"/>
    <mergeCell ref="M212:M213"/>
    <mergeCell ref="N212:N213"/>
    <mergeCell ref="O212:O213"/>
    <mergeCell ref="P212:P213"/>
    <mergeCell ref="Q212:Q213"/>
    <mergeCell ref="B215:D215"/>
    <mergeCell ref="B217:D217"/>
    <mergeCell ref="B218:D218"/>
    <mergeCell ref="A212:A213"/>
    <mergeCell ref="B212:D213"/>
    <mergeCell ref="F212:F213"/>
    <mergeCell ref="G212:G213"/>
    <mergeCell ref="H212:H213"/>
    <mergeCell ref="I212:I213"/>
    <mergeCell ref="J212:J213"/>
    <mergeCell ref="K212:K213"/>
    <mergeCell ref="O232:O233"/>
    <mergeCell ref="P232:P233"/>
    <mergeCell ref="Q232:Q233"/>
    <mergeCell ref="B234:D234"/>
    <mergeCell ref="B229:D229"/>
    <mergeCell ref="B230:D230"/>
    <mergeCell ref="B231:D231"/>
    <mergeCell ref="A232:A233"/>
    <mergeCell ref="B232:D233"/>
    <mergeCell ref="F232:F233"/>
    <mergeCell ref="G232:G233"/>
    <mergeCell ref="H232:H233"/>
    <mergeCell ref="I232:I233"/>
    <mergeCell ref="B219:D219"/>
    <mergeCell ref="B220:D220"/>
    <mergeCell ref="B221:D221"/>
    <mergeCell ref="B222:D222"/>
    <mergeCell ref="B223:D223"/>
    <mergeCell ref="B224:D224"/>
    <mergeCell ref="A226:R226"/>
    <mergeCell ref="A227:A228"/>
    <mergeCell ref="B227:D228"/>
    <mergeCell ref="F227:H227"/>
    <mergeCell ref="I227:I228"/>
    <mergeCell ref="J227:M227"/>
    <mergeCell ref="N227:Q227"/>
    <mergeCell ref="L243:L244"/>
    <mergeCell ref="M243:M244"/>
    <mergeCell ref="N243:N24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4"/>
    <mergeCell ref="J232:J233"/>
    <mergeCell ref="K232:K233"/>
    <mergeCell ref="L232:L233"/>
    <mergeCell ref="M232:M233"/>
    <mergeCell ref="N232:N233"/>
    <mergeCell ref="B247:D247"/>
    <mergeCell ref="B248:D248"/>
    <mergeCell ref="B250:D250"/>
    <mergeCell ref="B251:D251"/>
    <mergeCell ref="B252:D252"/>
    <mergeCell ref="B253:D253"/>
    <mergeCell ref="B254:D254"/>
    <mergeCell ref="B255:D255"/>
    <mergeCell ref="B256:D256"/>
    <mergeCell ref="O243:O244"/>
    <mergeCell ref="P243:P244"/>
    <mergeCell ref="Q243:Q244"/>
    <mergeCell ref="A245:A246"/>
    <mergeCell ref="B245:D246"/>
    <mergeCell ref="F245:F246"/>
    <mergeCell ref="G245:G246"/>
    <mergeCell ref="H245:H246"/>
    <mergeCell ref="I245:I246"/>
    <mergeCell ref="J245:J246"/>
    <mergeCell ref="K245:K246"/>
    <mergeCell ref="L245:L246"/>
    <mergeCell ref="M245:M246"/>
    <mergeCell ref="N245:N246"/>
    <mergeCell ref="O245:O246"/>
    <mergeCell ref="P245:P246"/>
    <mergeCell ref="Q245:Q246"/>
    <mergeCell ref="F243:F244"/>
    <mergeCell ref="G243:G244"/>
    <mergeCell ref="H243:H244"/>
    <mergeCell ref="I243:I244"/>
    <mergeCell ref="J243:J244"/>
    <mergeCell ref="K243:K244"/>
    <mergeCell ref="L259:L260"/>
    <mergeCell ref="M259:M260"/>
    <mergeCell ref="N259:N260"/>
    <mergeCell ref="O259:O260"/>
    <mergeCell ref="P259:P260"/>
    <mergeCell ref="Q259:Q260"/>
    <mergeCell ref="B261:D261"/>
    <mergeCell ref="B263:D263"/>
    <mergeCell ref="B264:D264"/>
    <mergeCell ref="B257:D257"/>
    <mergeCell ref="A259:A260"/>
    <mergeCell ref="B259:D260"/>
    <mergeCell ref="F259:F260"/>
    <mergeCell ref="G259:G260"/>
    <mergeCell ref="H259:H260"/>
    <mergeCell ref="I259:I260"/>
    <mergeCell ref="J259:J260"/>
    <mergeCell ref="K259:K260"/>
    <mergeCell ref="O278:O279"/>
    <mergeCell ref="P278:P279"/>
    <mergeCell ref="Q278:Q279"/>
    <mergeCell ref="B280:D280"/>
    <mergeCell ref="B275:D275"/>
    <mergeCell ref="B276:D276"/>
    <mergeCell ref="B277:D277"/>
    <mergeCell ref="A278:A279"/>
    <mergeCell ref="B278:D279"/>
    <mergeCell ref="F278:F279"/>
    <mergeCell ref="G278:G279"/>
    <mergeCell ref="H278:H279"/>
    <mergeCell ref="I278:I279"/>
    <mergeCell ref="B265:D265"/>
    <mergeCell ref="B266:D266"/>
    <mergeCell ref="B267:D267"/>
    <mergeCell ref="B268:D268"/>
    <mergeCell ref="B269:D269"/>
    <mergeCell ref="B270:D270"/>
    <mergeCell ref="A272:R272"/>
    <mergeCell ref="A273:A274"/>
    <mergeCell ref="B273:D274"/>
    <mergeCell ref="E273:E274"/>
    <mergeCell ref="F273:H273"/>
    <mergeCell ref="I273:I274"/>
    <mergeCell ref="J273:M273"/>
    <mergeCell ref="N273:Q273"/>
    <mergeCell ref="L289:L290"/>
    <mergeCell ref="M289:M290"/>
    <mergeCell ref="N289:N290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A289:A290"/>
    <mergeCell ref="B289:D290"/>
    <mergeCell ref="J278:J279"/>
    <mergeCell ref="K278:K279"/>
    <mergeCell ref="L278:L279"/>
    <mergeCell ref="M278:M279"/>
    <mergeCell ref="N278:N279"/>
    <mergeCell ref="B293:D293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O289:O290"/>
    <mergeCell ref="P289:P290"/>
    <mergeCell ref="Q289:Q290"/>
    <mergeCell ref="A291:A292"/>
    <mergeCell ref="B291:D292"/>
    <mergeCell ref="F291:F292"/>
    <mergeCell ref="G291:G292"/>
    <mergeCell ref="H291:H292"/>
    <mergeCell ref="I291:I292"/>
    <mergeCell ref="J291:J292"/>
    <mergeCell ref="K291:K292"/>
    <mergeCell ref="L291:L292"/>
    <mergeCell ref="M291:M292"/>
    <mergeCell ref="N291:N292"/>
    <mergeCell ref="O291:O292"/>
    <mergeCell ref="P291:P292"/>
    <mergeCell ref="Q291:Q292"/>
    <mergeCell ref="F289:F290"/>
    <mergeCell ref="G289:G290"/>
    <mergeCell ref="H289:H290"/>
    <mergeCell ref="I289:I290"/>
    <mergeCell ref="J289:J290"/>
    <mergeCell ref="K289:K290"/>
    <mergeCell ref="B310:D310"/>
    <mergeCell ref="B311:D311"/>
    <mergeCell ref="B312:D312"/>
    <mergeCell ref="B313:D313"/>
    <mergeCell ref="B314:D314"/>
    <mergeCell ref="B315:D315"/>
    <mergeCell ref="B316:D316"/>
    <mergeCell ref="M303:M304"/>
    <mergeCell ref="N303:N304"/>
    <mergeCell ref="O303:O304"/>
    <mergeCell ref="P303:P304"/>
    <mergeCell ref="Q303:Q304"/>
    <mergeCell ref="B305:D305"/>
    <mergeCell ref="B306:D306"/>
    <mergeCell ref="B308:D308"/>
    <mergeCell ref="B309:D309"/>
    <mergeCell ref="A303:A304"/>
    <mergeCell ref="B303:D304"/>
    <mergeCell ref="F303:F304"/>
    <mergeCell ref="G303:G304"/>
    <mergeCell ref="H303:H304"/>
    <mergeCell ref="I303:I304"/>
    <mergeCell ref="J303:J304"/>
    <mergeCell ref="K303:K304"/>
    <mergeCell ref="L303:L304"/>
    <mergeCell ref="A21:A22"/>
    <mergeCell ref="B21:D22"/>
    <mergeCell ref="L21:L22"/>
    <mergeCell ref="M21:M22"/>
    <mergeCell ref="N21:N22"/>
    <mergeCell ref="P21:P22"/>
    <mergeCell ref="Q21:Q22"/>
    <mergeCell ref="J34:J35"/>
    <mergeCell ref="K34:K35"/>
    <mergeCell ref="L34:L35"/>
    <mergeCell ref="M34:M35"/>
    <mergeCell ref="N34:N35"/>
    <mergeCell ref="O34:O35"/>
    <mergeCell ref="P34:P35"/>
    <mergeCell ref="Q34:Q35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O21:O22"/>
    <mergeCell ref="F21:F22"/>
    <mergeCell ref="G21:G22"/>
    <mergeCell ref="H21:H22"/>
    <mergeCell ref="I21:I22"/>
    <mergeCell ref="J21:J22"/>
    <mergeCell ref="K21:K22"/>
    <mergeCell ref="B23:D23"/>
    <mergeCell ref="O323:O324"/>
    <mergeCell ref="P323:P324"/>
    <mergeCell ref="Q323:Q324"/>
    <mergeCell ref="B325:D325"/>
    <mergeCell ref="B326:D326"/>
    <mergeCell ref="B321:D321"/>
    <mergeCell ref="B322:D322"/>
    <mergeCell ref="A323:A324"/>
    <mergeCell ref="B323:D324"/>
    <mergeCell ref="F323:F324"/>
    <mergeCell ref="G323:G324"/>
    <mergeCell ref="H323:H324"/>
    <mergeCell ref="I323:I324"/>
    <mergeCell ref="J323:J324"/>
    <mergeCell ref="A317:R317"/>
    <mergeCell ref="A318:A319"/>
    <mergeCell ref="B318:D319"/>
    <mergeCell ref="E318:E319"/>
    <mergeCell ref="F318:H318"/>
    <mergeCell ref="I318:I319"/>
    <mergeCell ref="J318:M318"/>
    <mergeCell ref="N318:Q318"/>
    <mergeCell ref="B320:D320"/>
    <mergeCell ref="L336:L337"/>
    <mergeCell ref="M336:M337"/>
    <mergeCell ref="N336:N337"/>
    <mergeCell ref="B327:D327"/>
    <mergeCell ref="B328:D328"/>
    <mergeCell ref="B329:D329"/>
    <mergeCell ref="B331:D331"/>
    <mergeCell ref="B332:D332"/>
    <mergeCell ref="B333:D333"/>
    <mergeCell ref="B334:D334"/>
    <mergeCell ref="B335:D335"/>
    <mergeCell ref="A336:A337"/>
    <mergeCell ref="B336:D337"/>
    <mergeCell ref="K323:K324"/>
    <mergeCell ref="L323:L324"/>
    <mergeCell ref="M323:M324"/>
    <mergeCell ref="N323:N324"/>
    <mergeCell ref="B340:D340"/>
    <mergeCell ref="B341:D341"/>
    <mergeCell ref="B342:D342"/>
    <mergeCell ref="B343:D343"/>
    <mergeCell ref="B344:D344"/>
    <mergeCell ref="B346:D346"/>
    <mergeCell ref="B347:D347"/>
    <mergeCell ref="B348:D348"/>
    <mergeCell ref="B349:D349"/>
    <mergeCell ref="O336:O337"/>
    <mergeCell ref="P336:P337"/>
    <mergeCell ref="Q336:Q337"/>
    <mergeCell ref="A338:A339"/>
    <mergeCell ref="B338:D339"/>
    <mergeCell ref="F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F336:F337"/>
    <mergeCell ref="G336:G337"/>
    <mergeCell ref="H336:H337"/>
    <mergeCell ref="I336:I337"/>
    <mergeCell ref="J336:J337"/>
    <mergeCell ref="K336:K337"/>
    <mergeCell ref="L351:L352"/>
    <mergeCell ref="M351:M352"/>
    <mergeCell ref="N351:N352"/>
    <mergeCell ref="O351:O352"/>
    <mergeCell ref="P351:P352"/>
    <mergeCell ref="Q351:Q352"/>
    <mergeCell ref="B353:D353"/>
    <mergeCell ref="B354:D354"/>
    <mergeCell ref="B355:D355"/>
    <mergeCell ref="B350:D350"/>
    <mergeCell ref="A351:A352"/>
    <mergeCell ref="B351:D352"/>
    <mergeCell ref="F351:F352"/>
    <mergeCell ref="G351:G352"/>
    <mergeCell ref="H351:H352"/>
    <mergeCell ref="I351:I352"/>
    <mergeCell ref="J351:J352"/>
    <mergeCell ref="K351:K352"/>
    <mergeCell ref="A366:A367"/>
    <mergeCell ref="B366:D367"/>
    <mergeCell ref="E366:E367"/>
    <mergeCell ref="F366:H366"/>
    <mergeCell ref="I366:I367"/>
    <mergeCell ref="J366:M366"/>
    <mergeCell ref="N366:Q366"/>
    <mergeCell ref="B368:D368"/>
    <mergeCell ref="B369:D369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A365:R365"/>
    <mergeCell ref="B376:D376"/>
    <mergeCell ref="B377:D377"/>
    <mergeCell ref="B378:D378"/>
    <mergeCell ref="B379:D379"/>
    <mergeCell ref="B380:D380"/>
    <mergeCell ref="A383:A384"/>
    <mergeCell ref="B383:D384"/>
    <mergeCell ref="L371:L372"/>
    <mergeCell ref="M371:M372"/>
    <mergeCell ref="N371:N372"/>
    <mergeCell ref="O371:O372"/>
    <mergeCell ref="P371:P372"/>
    <mergeCell ref="Q371:Q372"/>
    <mergeCell ref="B373:D373"/>
    <mergeCell ref="B374:D374"/>
    <mergeCell ref="B375:D375"/>
    <mergeCell ref="B370:D370"/>
    <mergeCell ref="A371:A372"/>
    <mergeCell ref="B371:D372"/>
    <mergeCell ref="F371:F372"/>
    <mergeCell ref="G371:G372"/>
    <mergeCell ref="H371:H372"/>
    <mergeCell ref="I371:I372"/>
    <mergeCell ref="J371:J372"/>
    <mergeCell ref="K371:K372"/>
    <mergeCell ref="O383:O384"/>
    <mergeCell ref="P383:P384"/>
    <mergeCell ref="Q383:Q384"/>
    <mergeCell ref="P381:P382"/>
    <mergeCell ref="Q381:Q382"/>
    <mergeCell ref="G381:G382"/>
    <mergeCell ref="H381:H382"/>
    <mergeCell ref="B385:D385"/>
    <mergeCell ref="B386:D386"/>
    <mergeCell ref="B388:D388"/>
    <mergeCell ref="B389:D389"/>
    <mergeCell ref="B390:D390"/>
    <mergeCell ref="B391:D391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K398:K399"/>
    <mergeCell ref="L398:L399"/>
    <mergeCell ref="I396:I397"/>
    <mergeCell ref="J396:J397"/>
    <mergeCell ref="K396:K397"/>
    <mergeCell ref="L396:L397"/>
    <mergeCell ref="M396:M397"/>
    <mergeCell ref="N396:N397"/>
    <mergeCell ref="O396:O397"/>
    <mergeCell ref="P396:P397"/>
    <mergeCell ref="Q396:Q397"/>
    <mergeCell ref="B392:D392"/>
    <mergeCell ref="B393:D393"/>
    <mergeCell ref="B394:D394"/>
    <mergeCell ref="B395:D395"/>
    <mergeCell ref="A396:A397"/>
    <mergeCell ref="B396:D397"/>
    <mergeCell ref="F396:F397"/>
    <mergeCell ref="G396:G397"/>
    <mergeCell ref="H396:H397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A411:R411"/>
    <mergeCell ref="A412:A413"/>
    <mergeCell ref="B412:D413"/>
    <mergeCell ref="E412:E413"/>
    <mergeCell ref="F412:H412"/>
    <mergeCell ref="I412:I413"/>
    <mergeCell ref="J412:M412"/>
    <mergeCell ref="N412:Q412"/>
    <mergeCell ref="M398:M399"/>
    <mergeCell ref="N398:N399"/>
    <mergeCell ref="O398:O399"/>
    <mergeCell ref="P398:P399"/>
    <mergeCell ref="Q398:Q399"/>
    <mergeCell ref="B401:D401"/>
    <mergeCell ref="B402:D402"/>
    <mergeCell ref="B403:D403"/>
    <mergeCell ref="B404:D404"/>
    <mergeCell ref="A398:A399"/>
    <mergeCell ref="B398:D399"/>
    <mergeCell ref="F398:F399"/>
    <mergeCell ref="G398:G399"/>
    <mergeCell ref="H398:H399"/>
    <mergeCell ref="I398:I399"/>
    <mergeCell ref="J398:J399"/>
    <mergeCell ref="M418:M419"/>
    <mergeCell ref="N418:N419"/>
    <mergeCell ref="O418:O419"/>
    <mergeCell ref="P418:P419"/>
    <mergeCell ref="Q418:Q419"/>
    <mergeCell ref="A418:A419"/>
    <mergeCell ref="B418:D419"/>
    <mergeCell ref="F418:F419"/>
    <mergeCell ref="G418:G419"/>
    <mergeCell ref="H418:H419"/>
    <mergeCell ref="I418:I419"/>
    <mergeCell ref="J418:J419"/>
    <mergeCell ref="K418:K419"/>
    <mergeCell ref="L418:L419"/>
    <mergeCell ref="B417:D417"/>
    <mergeCell ref="B400:D400"/>
    <mergeCell ref="A440:A441"/>
    <mergeCell ref="B440:D441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O440:O441"/>
    <mergeCell ref="P440:P441"/>
    <mergeCell ref="Q440:Q441"/>
    <mergeCell ref="B442:D442"/>
    <mergeCell ref="B443:D443"/>
    <mergeCell ref="B445:D445"/>
    <mergeCell ref="F440:F441"/>
    <mergeCell ref="G440:G441"/>
    <mergeCell ref="H440:H441"/>
    <mergeCell ref="I440:I441"/>
    <mergeCell ref="J440:J441"/>
    <mergeCell ref="K440:K441"/>
    <mergeCell ref="L440:L441"/>
    <mergeCell ref="M440:M441"/>
    <mergeCell ref="N440:N441"/>
    <mergeCell ref="B459:D459"/>
    <mergeCell ref="B460:D460"/>
    <mergeCell ref="A461:A462"/>
    <mergeCell ref="B461:D462"/>
    <mergeCell ref="F461:F462"/>
    <mergeCell ref="G461:G462"/>
    <mergeCell ref="H461:H462"/>
    <mergeCell ref="B449:D449"/>
    <mergeCell ref="B450:D450"/>
    <mergeCell ref="B451:D451"/>
    <mergeCell ref="B452:D452"/>
    <mergeCell ref="A454:R454"/>
    <mergeCell ref="A455:A456"/>
    <mergeCell ref="B455:D456"/>
    <mergeCell ref="E455:E456"/>
    <mergeCell ref="F455:H455"/>
    <mergeCell ref="I455:I456"/>
    <mergeCell ref="J455:M455"/>
    <mergeCell ref="N455:Q455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A471:A472"/>
    <mergeCell ref="B471:D472"/>
    <mergeCell ref="I461:I462"/>
    <mergeCell ref="J461:J462"/>
    <mergeCell ref="K461:K462"/>
    <mergeCell ref="L461:L462"/>
    <mergeCell ref="M461:M462"/>
    <mergeCell ref="N461:N462"/>
    <mergeCell ref="O461:O462"/>
    <mergeCell ref="O471:O472"/>
    <mergeCell ref="P471:P472"/>
    <mergeCell ref="Q471:Q472"/>
    <mergeCell ref="A473:A474"/>
    <mergeCell ref="B473:D474"/>
    <mergeCell ref="F473:F474"/>
    <mergeCell ref="G473:G474"/>
    <mergeCell ref="H473:H474"/>
    <mergeCell ref="I473:I474"/>
    <mergeCell ref="J473:J474"/>
    <mergeCell ref="K473:K474"/>
    <mergeCell ref="L473:L474"/>
    <mergeCell ref="M473:M474"/>
    <mergeCell ref="N473:N474"/>
    <mergeCell ref="O473:O474"/>
    <mergeCell ref="P473:P474"/>
    <mergeCell ref="Q473:Q474"/>
    <mergeCell ref="F471:F472"/>
    <mergeCell ref="G471:G472"/>
    <mergeCell ref="H471:H472"/>
    <mergeCell ref="I471:I472"/>
    <mergeCell ref="J471:J472"/>
    <mergeCell ref="K471:K472"/>
    <mergeCell ref="L471:L472"/>
    <mergeCell ref="M471:M472"/>
    <mergeCell ref="N471:N472"/>
    <mergeCell ref="B485:D485"/>
    <mergeCell ref="A486:A487"/>
    <mergeCell ref="B486:D487"/>
    <mergeCell ref="F486:F487"/>
    <mergeCell ref="G486:G487"/>
    <mergeCell ref="H486:H487"/>
    <mergeCell ref="I486:I487"/>
    <mergeCell ref="J486:J487"/>
    <mergeCell ref="K486:K487"/>
    <mergeCell ref="B475:D475"/>
    <mergeCell ref="B476:D476"/>
    <mergeCell ref="B478:D478"/>
    <mergeCell ref="B479:D479"/>
    <mergeCell ref="B480:D480"/>
    <mergeCell ref="B481:D481"/>
    <mergeCell ref="B482:D482"/>
    <mergeCell ref="B483:D483"/>
    <mergeCell ref="B484:D484"/>
    <mergeCell ref="B477:D477"/>
    <mergeCell ref="B490:D490"/>
    <mergeCell ref="B492:D492"/>
    <mergeCell ref="B493:D493"/>
    <mergeCell ref="B494:D494"/>
    <mergeCell ref="B495:D495"/>
    <mergeCell ref="B496:D496"/>
    <mergeCell ref="B497:D497"/>
    <mergeCell ref="B498:D498"/>
    <mergeCell ref="B499:D499"/>
    <mergeCell ref="L486:L487"/>
    <mergeCell ref="M486:M487"/>
    <mergeCell ref="N486:N487"/>
    <mergeCell ref="O486:O487"/>
    <mergeCell ref="P486:P487"/>
    <mergeCell ref="Q486:Q487"/>
    <mergeCell ref="A488:A489"/>
    <mergeCell ref="B488:D489"/>
    <mergeCell ref="F488:F489"/>
    <mergeCell ref="G488:G489"/>
    <mergeCell ref="H488:H489"/>
    <mergeCell ref="I488:I489"/>
    <mergeCell ref="J488:J489"/>
    <mergeCell ref="K488:K489"/>
    <mergeCell ref="L488:L489"/>
    <mergeCell ref="M488:M489"/>
    <mergeCell ref="N488:N489"/>
    <mergeCell ref="O488:O489"/>
    <mergeCell ref="P488:P489"/>
    <mergeCell ref="Q488:Q489"/>
    <mergeCell ref="B505:D505"/>
    <mergeCell ref="B506:D506"/>
    <mergeCell ref="A507:A508"/>
    <mergeCell ref="B507:D508"/>
    <mergeCell ref="F507:F508"/>
    <mergeCell ref="G507:G508"/>
    <mergeCell ref="H507:H508"/>
    <mergeCell ref="I507:I508"/>
    <mergeCell ref="J507:J508"/>
    <mergeCell ref="A501:R501"/>
    <mergeCell ref="A502:A503"/>
    <mergeCell ref="B502:D503"/>
    <mergeCell ref="E502:E503"/>
    <mergeCell ref="F502:H502"/>
    <mergeCell ref="I502:I503"/>
    <mergeCell ref="J502:M502"/>
    <mergeCell ref="N502:Q502"/>
    <mergeCell ref="B504:D504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A519:A520"/>
    <mergeCell ref="B519:D520"/>
    <mergeCell ref="K507:K508"/>
    <mergeCell ref="L507:L508"/>
    <mergeCell ref="M507:M508"/>
    <mergeCell ref="N507:N508"/>
    <mergeCell ref="O507:O508"/>
    <mergeCell ref="P507:P508"/>
    <mergeCell ref="Q507:Q508"/>
    <mergeCell ref="B509:D509"/>
    <mergeCell ref="B510:D510"/>
    <mergeCell ref="A521:A522"/>
    <mergeCell ref="B521:D522"/>
    <mergeCell ref="F521:F522"/>
    <mergeCell ref="G521:G522"/>
    <mergeCell ref="H521:H522"/>
    <mergeCell ref="I521:I522"/>
    <mergeCell ref="J521:J522"/>
    <mergeCell ref="K521:K522"/>
    <mergeCell ref="L521:L522"/>
    <mergeCell ref="M521:M522"/>
    <mergeCell ref="N521:N522"/>
    <mergeCell ref="O521:O522"/>
    <mergeCell ref="P521:P522"/>
    <mergeCell ref="Q521:Q522"/>
    <mergeCell ref="F519:F520"/>
    <mergeCell ref="G519:G520"/>
    <mergeCell ref="H519:H520"/>
    <mergeCell ref="I519:I520"/>
    <mergeCell ref="J519:J520"/>
    <mergeCell ref="K519:K520"/>
    <mergeCell ref="L519:L520"/>
    <mergeCell ref="M519:M520"/>
    <mergeCell ref="N519:N520"/>
    <mergeCell ref="H533:H534"/>
    <mergeCell ref="I533:I534"/>
    <mergeCell ref="J533:J534"/>
    <mergeCell ref="K533:K534"/>
    <mergeCell ref="L533:L534"/>
    <mergeCell ref="B523:D523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O519:O520"/>
    <mergeCell ref="P519:P520"/>
    <mergeCell ref="Q519:Q520"/>
    <mergeCell ref="B537:D537"/>
    <mergeCell ref="B539:D539"/>
    <mergeCell ref="B540:D540"/>
    <mergeCell ref="B541:D541"/>
    <mergeCell ref="B543:D543"/>
    <mergeCell ref="B544:D544"/>
    <mergeCell ref="B545:D545"/>
    <mergeCell ref="B546:D546"/>
    <mergeCell ref="A548:R548"/>
    <mergeCell ref="M533:M534"/>
    <mergeCell ref="N533:N534"/>
    <mergeCell ref="O533:O534"/>
    <mergeCell ref="P533:P534"/>
    <mergeCell ref="Q533:Q534"/>
    <mergeCell ref="A535:A536"/>
    <mergeCell ref="B535:D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O535:O536"/>
    <mergeCell ref="P535:P536"/>
    <mergeCell ref="Q535:Q536"/>
    <mergeCell ref="A533:A534"/>
    <mergeCell ref="B533:D534"/>
    <mergeCell ref="F533:F534"/>
    <mergeCell ref="G533:G534"/>
    <mergeCell ref="A549:A550"/>
    <mergeCell ref="B549:D550"/>
    <mergeCell ref="E549:E550"/>
    <mergeCell ref="F549:H549"/>
    <mergeCell ref="I549:I550"/>
    <mergeCell ref="J549:M549"/>
    <mergeCell ref="B551:D551"/>
    <mergeCell ref="B552:D552"/>
    <mergeCell ref="A553:A554"/>
    <mergeCell ref="B553:D554"/>
    <mergeCell ref="F553:F554"/>
    <mergeCell ref="G553:G554"/>
    <mergeCell ref="H553:H554"/>
    <mergeCell ref="I553:I554"/>
    <mergeCell ref="J553:J554"/>
    <mergeCell ref="K553:K554"/>
    <mergeCell ref="L553:L554"/>
    <mergeCell ref="M553:M554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N553:N554"/>
    <mergeCell ref="O553:O554"/>
    <mergeCell ref="P553:P554"/>
    <mergeCell ref="Q553:Q554"/>
    <mergeCell ref="B555:D555"/>
    <mergeCell ref="A556:A558"/>
    <mergeCell ref="B556:D558"/>
    <mergeCell ref="F556:F558"/>
    <mergeCell ref="G556:G558"/>
    <mergeCell ref="H556:H558"/>
    <mergeCell ref="I556:I558"/>
    <mergeCell ref="J556:J558"/>
    <mergeCell ref="K556:K558"/>
    <mergeCell ref="L556:L558"/>
    <mergeCell ref="M556:M558"/>
    <mergeCell ref="N556:N558"/>
    <mergeCell ref="O556:O558"/>
    <mergeCell ref="P556:P558"/>
    <mergeCell ref="Q556:Q558"/>
    <mergeCell ref="B575:D575"/>
    <mergeCell ref="B576:D576"/>
    <mergeCell ref="B577:D577"/>
    <mergeCell ref="B578:D578"/>
    <mergeCell ref="B579:D579"/>
    <mergeCell ref="B580:D580"/>
    <mergeCell ref="B581:D581"/>
    <mergeCell ref="A582:A583"/>
    <mergeCell ref="B582:D583"/>
    <mergeCell ref="M568:M569"/>
    <mergeCell ref="N568:N569"/>
    <mergeCell ref="O568:O569"/>
    <mergeCell ref="P568:P569"/>
    <mergeCell ref="Q568:Q569"/>
    <mergeCell ref="B570:D570"/>
    <mergeCell ref="B571:D571"/>
    <mergeCell ref="B572:D572"/>
    <mergeCell ref="B574:D574"/>
    <mergeCell ref="A568:A569"/>
    <mergeCell ref="B568:D569"/>
    <mergeCell ref="F568:F569"/>
    <mergeCell ref="G568:G569"/>
    <mergeCell ref="H568:H569"/>
    <mergeCell ref="I568:I569"/>
    <mergeCell ref="J568:J569"/>
    <mergeCell ref="K568:K569"/>
    <mergeCell ref="L568:L569"/>
    <mergeCell ref="O582:O583"/>
    <mergeCell ref="P582:P583"/>
    <mergeCell ref="Q582:Q583"/>
    <mergeCell ref="B584:D584"/>
    <mergeCell ref="B586:D586"/>
    <mergeCell ref="B587:D587"/>
    <mergeCell ref="B588:D588"/>
    <mergeCell ref="B589:D589"/>
    <mergeCell ref="B590:D590"/>
    <mergeCell ref="F582:F583"/>
    <mergeCell ref="G582:G583"/>
    <mergeCell ref="H582:H583"/>
    <mergeCell ref="I582:I583"/>
    <mergeCell ref="J582:J583"/>
    <mergeCell ref="K582:K583"/>
    <mergeCell ref="L582:L583"/>
    <mergeCell ref="M582:M583"/>
    <mergeCell ref="N582:N583"/>
    <mergeCell ref="O601:O602"/>
    <mergeCell ref="P601:P602"/>
    <mergeCell ref="Q601:Q602"/>
    <mergeCell ref="B603:D603"/>
    <mergeCell ref="B598:D598"/>
    <mergeCell ref="B599:D599"/>
    <mergeCell ref="B600:D600"/>
    <mergeCell ref="A601:A602"/>
    <mergeCell ref="B601:D602"/>
    <mergeCell ref="F601:F602"/>
    <mergeCell ref="G601:G602"/>
    <mergeCell ref="H601:H602"/>
    <mergeCell ref="I601:I602"/>
    <mergeCell ref="B591:D591"/>
    <mergeCell ref="B592:D592"/>
    <mergeCell ref="B593:D593"/>
    <mergeCell ref="A595:R595"/>
    <mergeCell ref="A596:A597"/>
    <mergeCell ref="B596:D597"/>
    <mergeCell ref="F596:H596"/>
    <mergeCell ref="I596:I597"/>
    <mergeCell ref="J596:M596"/>
    <mergeCell ref="N596:Q596"/>
    <mergeCell ref="B604:D604"/>
    <mergeCell ref="B606:D606"/>
    <mergeCell ref="B607:D607"/>
    <mergeCell ref="B608:D608"/>
    <mergeCell ref="B609:D609"/>
    <mergeCell ref="B610:D610"/>
    <mergeCell ref="B611:D611"/>
    <mergeCell ref="B612:D612"/>
    <mergeCell ref="J601:J602"/>
    <mergeCell ref="K601:K602"/>
    <mergeCell ref="L601:L602"/>
    <mergeCell ref="M601:M602"/>
    <mergeCell ref="N601:N602"/>
    <mergeCell ref="B613:D613"/>
    <mergeCell ref="B616:D616"/>
    <mergeCell ref="B617:D617"/>
    <mergeCell ref="B620:D620"/>
    <mergeCell ref="B618:D618"/>
    <mergeCell ref="B619:D619"/>
    <mergeCell ref="B605:D605"/>
    <mergeCell ref="B626:D626"/>
    <mergeCell ref="P628:P629"/>
    <mergeCell ref="Q628:Q629"/>
    <mergeCell ref="A630:A631"/>
    <mergeCell ref="B630:D631"/>
    <mergeCell ref="F630:F631"/>
    <mergeCell ref="G630:G631"/>
    <mergeCell ref="H630:H631"/>
    <mergeCell ref="I630:I631"/>
    <mergeCell ref="J630:J631"/>
    <mergeCell ref="K630:K631"/>
    <mergeCell ref="L630:L631"/>
    <mergeCell ref="M630:M631"/>
    <mergeCell ref="N630:N631"/>
    <mergeCell ref="O630:O631"/>
    <mergeCell ref="P630:P631"/>
    <mergeCell ref="Q630:Q631"/>
    <mergeCell ref="B627:D627"/>
    <mergeCell ref="A628:A629"/>
    <mergeCell ref="B628:D629"/>
    <mergeCell ref="F628:F629"/>
    <mergeCell ref="G628:G629"/>
    <mergeCell ref="H628:H629"/>
    <mergeCell ref="I628:I629"/>
    <mergeCell ref="J628:J629"/>
    <mergeCell ref="K628:K629"/>
    <mergeCell ref="I381:I382"/>
    <mergeCell ref="J381:J382"/>
    <mergeCell ref="K381:K382"/>
    <mergeCell ref="L381:L382"/>
    <mergeCell ref="M381:M382"/>
    <mergeCell ref="N381:N382"/>
    <mergeCell ref="O381:O382"/>
    <mergeCell ref="B641:D641"/>
    <mergeCell ref="B642:D642"/>
    <mergeCell ref="A243:A244"/>
    <mergeCell ref="E243:E244"/>
    <mergeCell ref="A381:A382"/>
    <mergeCell ref="B381:D382"/>
    <mergeCell ref="F381:F382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L628:L629"/>
    <mergeCell ref="M628:M629"/>
    <mergeCell ref="N628:N629"/>
    <mergeCell ref="O628:O629"/>
    <mergeCell ref="B621:D621"/>
    <mergeCell ref="B622:D622"/>
    <mergeCell ref="B623:D623"/>
    <mergeCell ref="B624:D624"/>
    <mergeCell ref="B625:D625"/>
  </mergeCells>
  <conditionalFormatting sqref="E35">
    <cfRule type="notContainsBlanks" dxfId="0" priority="1">
      <formula>LEN(TRIM(E35))&gt;0</formula>
    </cfRule>
  </conditionalFormatting>
  <pageMargins left="0.25" right="0.25" top="0.75" bottom="0.75" header="0.3" footer="0.3"/>
  <pageSetup paperSize="9" scale="68" fitToHeight="0" orientation="landscape" verticalDpi="0" r:id="rId1"/>
  <rowBreaks count="14" manualBreakCount="14">
    <brk id="47" max="16383" man="1"/>
    <brk id="89" max="16383" man="1"/>
    <brk id="135" max="16383" man="1"/>
    <brk id="179" max="16383" man="1"/>
    <brk id="224" max="16383" man="1"/>
    <brk id="270" max="16383" man="1"/>
    <brk id="316" max="16383" man="1"/>
    <brk id="363" max="16383" man="1"/>
    <brk id="409" max="16383" man="1"/>
    <brk id="452" max="16383" man="1"/>
    <brk id="499" max="16383" man="1"/>
    <brk id="546" max="16383" man="1"/>
    <brk id="593" max="16383" man="1"/>
    <brk id="64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</dc:creator>
  <cp:lastModifiedBy>User1</cp:lastModifiedBy>
  <cp:lastPrinted>2023-12-19T07:58:53Z</cp:lastPrinted>
  <dcterms:created xsi:type="dcterms:W3CDTF">2017-01-14T20:07:22Z</dcterms:created>
  <dcterms:modified xsi:type="dcterms:W3CDTF">2023-12-19T07:59:18Z</dcterms:modified>
</cp:coreProperties>
</file>